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ЛАВНАЯ" sheetId="9" r:id="rId1"/>
    <sheet name="сайдинг" sheetId="7" r:id="rId2"/>
    <sheet name="утеплитель" sheetId="1" r:id="rId3"/>
    <sheet name="водосток" sheetId="8" r:id="rId4"/>
    <sheet name="ондулин" sheetId="4" r:id="rId5"/>
    <sheet name="газобетон" sheetId="2" r:id="rId6"/>
    <sheet name="радиаторы" sheetId="3" r:id="rId7"/>
    <sheet name="профлист" sheetId="5" r:id="rId8"/>
    <sheet name="доставка" sheetId="6" r:id="rId9"/>
  </sheets>
  <calcPr calcId="125725" refMode="R1C1"/>
</workbook>
</file>

<file path=xl/calcChain.xml><?xml version="1.0" encoding="utf-8"?>
<calcChain xmlns="http://schemas.openxmlformats.org/spreadsheetml/2006/main">
  <c r="E12" i="7"/>
  <c r="D8"/>
  <c r="G10" i="8"/>
  <c r="H10"/>
  <c r="G11"/>
  <c r="H11"/>
  <c r="G12"/>
  <c r="H12"/>
  <c r="G15"/>
  <c r="H15"/>
  <c r="G19"/>
  <c r="H19"/>
  <c r="D8"/>
  <c r="G8" s="1"/>
  <c r="D7"/>
  <c r="H7" s="1"/>
  <c r="B53" i="7"/>
  <c r="D43"/>
  <c r="F43" s="1"/>
  <c r="B44"/>
  <c r="B52" s="1"/>
  <c r="B42"/>
  <c r="D42" s="1"/>
  <c r="F42" s="1"/>
  <c r="B41"/>
  <c r="D41" s="1"/>
  <c r="F41" s="1"/>
  <c r="B40"/>
  <c r="B49" s="1"/>
  <c r="C30"/>
  <c r="C29"/>
  <c r="C31" s="1"/>
  <c r="I14" i="9"/>
  <c r="A5" i="3"/>
  <c r="C5" s="1"/>
  <c r="A6" i="4"/>
  <c r="B13" i="1"/>
  <c r="C13"/>
  <c r="D5"/>
  <c r="C5"/>
  <c r="B5"/>
  <c r="E13"/>
  <c r="C5" i="5"/>
  <c r="B5"/>
  <c r="A5"/>
  <c r="I8" s="1"/>
  <c r="K8" s="1"/>
  <c r="A8" i="7"/>
  <c r="C8"/>
  <c r="C12" s="1"/>
  <c r="B8"/>
  <c r="C18" i="9"/>
  <c r="B6" i="4" s="1"/>
  <c r="E8" s="1"/>
  <c r="G8" s="1"/>
  <c r="D25" i="7"/>
  <c r="D21"/>
  <c r="D20"/>
  <c r="K3" i="3"/>
  <c r="D5" s="1"/>
  <c r="H7" i="6"/>
  <c r="H6"/>
  <c r="H5"/>
  <c r="K6" i="5"/>
  <c r="G5" i="2"/>
  <c r="J5" s="1"/>
  <c r="J7" i="9" s="1"/>
  <c r="H5" i="5"/>
  <c r="F17" i="1"/>
  <c r="G17" s="1"/>
  <c r="H17" s="1"/>
  <c r="J17" s="1"/>
  <c r="F5" i="2"/>
  <c r="D26" i="7" l="1"/>
  <c r="E5" i="3"/>
  <c r="J13" i="9" s="1"/>
  <c r="B50" i="7"/>
  <c r="D17" i="8"/>
  <c r="D13"/>
  <c r="D20"/>
  <c r="D16"/>
  <c r="G7"/>
  <c r="H8"/>
  <c r="D44" i="7"/>
  <c r="F44" s="1"/>
  <c r="D14" i="8"/>
  <c r="D18"/>
  <c r="D21"/>
  <c r="D9"/>
  <c r="B51" i="7"/>
  <c r="B54" s="1"/>
  <c r="C54" s="1"/>
  <c r="D40"/>
  <c r="F40" s="1"/>
  <c r="D6" i="4"/>
  <c r="E6" s="1"/>
  <c r="G6" s="1"/>
  <c r="G5" i="5"/>
  <c r="I5" s="1"/>
  <c r="I9" s="1"/>
  <c r="K9" s="1"/>
  <c r="E9" i="4"/>
  <c r="G9" s="1"/>
  <c r="F13" i="1"/>
  <c r="G13" s="1"/>
  <c r="H13" s="1"/>
  <c r="J13" s="1"/>
  <c r="J11" i="9" s="1"/>
  <c r="F5" i="1"/>
  <c r="G5" s="1"/>
  <c r="H5" s="1"/>
  <c r="J5" s="1"/>
  <c r="J10" i="9" s="1"/>
  <c r="I7" i="5"/>
  <c r="K7" s="1"/>
  <c r="K5"/>
  <c r="D32" i="7"/>
  <c r="C34" s="1"/>
  <c r="E34" s="1"/>
  <c r="B64" s="1"/>
  <c r="G21" i="8" l="1"/>
  <c r="H21"/>
  <c r="G14"/>
  <c r="H14"/>
  <c r="G16"/>
  <c r="H16"/>
  <c r="G13"/>
  <c r="H13"/>
  <c r="F45" i="7"/>
  <c r="B65" s="1"/>
  <c r="G9" i="8"/>
  <c r="H9"/>
  <c r="G18"/>
  <c r="H18"/>
  <c r="G20"/>
  <c r="H20"/>
  <c r="G17"/>
  <c r="H17"/>
  <c r="G26"/>
  <c r="J12" i="9" s="1"/>
  <c r="E54" i="7"/>
  <c r="C55"/>
  <c r="E7" i="4"/>
  <c r="G7" s="1"/>
  <c r="G10" s="1"/>
  <c r="J9" i="9" s="1"/>
  <c r="K11" i="5"/>
  <c r="I17" i="9" s="1"/>
  <c r="H26" i="8" l="1"/>
  <c r="C56" i="7"/>
  <c r="E56" s="1"/>
  <c r="E55"/>
  <c r="E58" s="1"/>
  <c r="B66" s="1"/>
  <c r="B67" s="1"/>
  <c r="J8" i="9" s="1"/>
  <c r="J15" s="1"/>
  <c r="C57" i="7"/>
  <c r="E57" s="1"/>
</calcChain>
</file>

<file path=xl/sharedStrings.xml><?xml version="1.0" encoding="utf-8"?>
<sst xmlns="http://schemas.openxmlformats.org/spreadsheetml/2006/main" count="267" uniqueCount="175">
  <si>
    <t>На стены</t>
  </si>
  <si>
    <t>Размер дома</t>
  </si>
  <si>
    <t>Длина, м</t>
  </si>
  <si>
    <t>Ширина, м</t>
  </si>
  <si>
    <t>Высота стен, м</t>
  </si>
  <si>
    <t>ИТОГ</t>
  </si>
  <si>
    <t>м2</t>
  </si>
  <si>
    <t>м3</t>
  </si>
  <si>
    <t>упаковок</t>
  </si>
  <si>
    <t>объем утеплителя в пачке, м3</t>
  </si>
  <si>
    <t>Рекомендуемая толщина - 100 мм. Лучше - в 2 слоя с перехлестом, чтобы закрыть возможные щели в первом слое.</t>
  </si>
  <si>
    <t>На крышу</t>
  </si>
  <si>
    <t>Толщина стен, мм</t>
  </si>
  <si>
    <t>Толщина слоя утеплителя, мм</t>
  </si>
  <si>
    <t>размер крыши</t>
  </si>
  <si>
    <t>по карнизу</t>
  </si>
  <si>
    <t>длина ската</t>
  </si>
  <si>
    <t>теплоотдача 1 секции, Вт</t>
  </si>
  <si>
    <t>ИТОГ (количество секций)</t>
  </si>
  <si>
    <t>ИТОГО</t>
  </si>
  <si>
    <t>высота ската</t>
  </si>
  <si>
    <t>Вальмовая (4 скатная с одинаковыми скатами)</t>
  </si>
  <si>
    <t>число скатов</t>
  </si>
  <si>
    <t>1 или 2-скатная</t>
  </si>
  <si>
    <t>длина ската, м</t>
  </si>
  <si>
    <t>длина конька,м</t>
  </si>
  <si>
    <t>рабочая ширина, профлиста (узнайте в магазине), м</t>
  </si>
  <si>
    <t>полная ширина, профлиста (узнайте в магазине), м</t>
  </si>
  <si>
    <t>Кол-во листов</t>
  </si>
  <si>
    <t>Длина листов, м</t>
  </si>
  <si>
    <t>Площадь полная, м</t>
  </si>
  <si>
    <t>Площадь крыши рабочая - для оплаты монтажа</t>
  </si>
  <si>
    <t xml:space="preserve">Цена в магазине </t>
  </si>
  <si>
    <t>ЦЕНА</t>
  </si>
  <si>
    <t>СУММА</t>
  </si>
  <si>
    <t>ЦЕНА за упаковку на сайте</t>
  </si>
  <si>
    <t>СУММА, руб.</t>
  </si>
  <si>
    <t>Цена за шт</t>
  </si>
  <si>
    <t>Штук</t>
  </si>
  <si>
    <t>Получите подробную консультацию и уточните цены с ВАШЕЙ СКИДКОЙ по телефону 8-913-225-83-02 (пн-пт, 9-18 ч) - Бийск, Барнаул, 8-800-500-1343 - Новокузнецк</t>
  </si>
  <si>
    <t>Посмотрите полный каталог и выберите лучший вариант на сайте http://www.au22.ru</t>
  </si>
  <si>
    <t>нужно гвоздей - пачек по 100 шт</t>
  </si>
  <si>
    <t>Щипцов, шт</t>
  </si>
  <si>
    <t>Коньков, шт</t>
  </si>
  <si>
    <t>Торцевая планка</t>
  </si>
  <si>
    <t>саморез</t>
  </si>
  <si>
    <t>Конек, шт</t>
  </si>
  <si>
    <t>Сумма</t>
  </si>
  <si>
    <t>ВСЕГО К ОПЛАТЕ</t>
  </si>
  <si>
    <t>Доставка</t>
  </si>
  <si>
    <t>Сумма к оплате</t>
  </si>
  <si>
    <t>Сумма к оплате, включая доставку</t>
  </si>
  <si>
    <t xml:space="preserve">Расстояние до Вашего населенного пункта от нашего склада, км </t>
  </si>
  <si>
    <t>Точную стоимость доставки можно узнать по телефону 8-913-225-8302 (Алтайский Уют). Мы отправляем только материал, купленный у нас!</t>
  </si>
  <si>
    <t>Стоимость доставки</t>
  </si>
  <si>
    <t>Характеристики, максимум</t>
  </si>
  <si>
    <t>Вес, т</t>
  </si>
  <si>
    <t>По городу</t>
  </si>
  <si>
    <t>600-1200</t>
  </si>
  <si>
    <t>договорная</t>
  </si>
  <si>
    <t>300-500</t>
  </si>
  <si>
    <t>Объем, м3</t>
  </si>
  <si>
    <t xml:space="preserve">Газель </t>
  </si>
  <si>
    <t>Фура</t>
  </si>
  <si>
    <t>3-тонник</t>
  </si>
  <si>
    <t>Примерная цена руб/км (межгород)</t>
  </si>
  <si>
    <t>Цена секции</t>
  </si>
  <si>
    <t>посчитать цену секции</t>
  </si>
  <si>
    <t>Стоимость радиатора</t>
  </si>
  <si>
    <t>Количество секций в нем</t>
  </si>
  <si>
    <t>СУММА К ОПЛАТЕ</t>
  </si>
  <si>
    <t>количество</t>
  </si>
  <si>
    <t>Размер окон, м</t>
  </si>
  <si>
    <t>Высота</t>
  </si>
  <si>
    <t>Ширина</t>
  </si>
  <si>
    <t>2. Добавим фронтоны</t>
  </si>
  <si>
    <t>Высота фронтона, м</t>
  </si>
  <si>
    <t>Длина карниза, м (обычно это ширина дома)</t>
  </si>
  <si>
    <t>число фронтонов</t>
  </si>
  <si>
    <t>Итого площадь фронтонов, м2</t>
  </si>
  <si>
    <t>Площадь стен дома, м2</t>
  </si>
  <si>
    <t>Площадь окон</t>
  </si>
  <si>
    <t>Размер дверей, м</t>
  </si>
  <si>
    <t>3. Вычитаем окна и двери</t>
  </si>
  <si>
    <t>1. Площадь стен дома</t>
  </si>
  <si>
    <t>ИТОГО РАБОЧАЯ ПЛОЩАДЬ САЙДИНГА</t>
  </si>
  <si>
    <t>Общая площадь окон и дверей</t>
  </si>
  <si>
    <t>Стартовая планка</t>
  </si>
  <si>
    <t>Финишная планка</t>
  </si>
  <si>
    <t>Наружный угол</t>
  </si>
  <si>
    <t>J-профиль (для окон и дверей)</t>
  </si>
  <si>
    <t>Внутренний угол (добавьте сами, если есть)</t>
  </si>
  <si>
    <t>Примечания к доборным элементам</t>
  </si>
  <si>
    <t>Иногда используют J-профиль вместо стартового и внутренний угол вместо финишной - уточните у строителей, как они будут монтировать</t>
  </si>
  <si>
    <t>4. И, конечно, добавим на подшив карниза</t>
  </si>
  <si>
    <t>Выступает на … м</t>
  </si>
  <si>
    <t>Высота стен</t>
  </si>
  <si>
    <t>СТЕНЫ</t>
  </si>
  <si>
    <t>КРЫША</t>
  </si>
  <si>
    <t>Длина ската</t>
  </si>
  <si>
    <t>Длина конька</t>
  </si>
  <si>
    <t>Количество скатов</t>
  </si>
  <si>
    <t>РЕЗУЛЬТАТЫ</t>
  </si>
  <si>
    <t>Сайдинг</t>
  </si>
  <si>
    <t>Профлист</t>
  </si>
  <si>
    <t>Утеплитель</t>
  </si>
  <si>
    <t>на стены</t>
  </si>
  <si>
    <t>на крышу</t>
  </si>
  <si>
    <t>Водосток</t>
  </si>
  <si>
    <t>Газобетон</t>
  </si>
  <si>
    <t>Радиаторы</t>
  </si>
  <si>
    <t>Ондулин</t>
  </si>
  <si>
    <t>Число скатов</t>
  </si>
  <si>
    <t>площадь дома</t>
  </si>
  <si>
    <t>БОНУС</t>
  </si>
  <si>
    <t>Мощность котла, кВт</t>
  </si>
  <si>
    <t>Котел мощностью, кВт</t>
  </si>
  <si>
    <t>Со стороны ската (свес)</t>
  </si>
  <si>
    <t>Со стороны фронтона (где торцевая)</t>
  </si>
  <si>
    <t>Итого подшив карниза</t>
  </si>
  <si>
    <t>Расчеты сделаны для стандартного дома с 4 углами, 1 или 2-скатной крышей</t>
  </si>
  <si>
    <t>Как пользоваться калькулятором</t>
  </si>
  <si>
    <t>1.Введите на главной странице размеры дома</t>
  </si>
  <si>
    <t>3. Изучите подробности на соотвествующих вкладках</t>
  </si>
  <si>
    <t>Для сайдинга нужно прописать размеры окон</t>
  </si>
  <si>
    <t xml:space="preserve">5. Посчитаем доборные элементы </t>
  </si>
  <si>
    <t>Длина элемента, м.п.</t>
  </si>
  <si>
    <t>Цена</t>
  </si>
  <si>
    <t>ИТОГО по доборным</t>
  </si>
  <si>
    <t>6.Подведем итог</t>
  </si>
  <si>
    <t xml:space="preserve">6. Подсистема </t>
  </si>
  <si>
    <t>Профиля для стартовых</t>
  </si>
  <si>
    <t>Профиля для финишных</t>
  </si>
  <si>
    <t>Профиля через 40 см</t>
  </si>
  <si>
    <t>м.п.</t>
  </si>
  <si>
    <t>Шт</t>
  </si>
  <si>
    <t>Подвесы</t>
  </si>
  <si>
    <t>Саморез ШСММ - повдес к профилю</t>
  </si>
  <si>
    <t>Профиля для углов</t>
  </si>
  <si>
    <t>Профиля вокруг окон и дверей</t>
  </si>
  <si>
    <t>Итого профилей, м.п.</t>
  </si>
  <si>
    <t>Саморезы ШСГД 51- в стены</t>
  </si>
  <si>
    <t>Цена, руб/шт</t>
  </si>
  <si>
    <t>Площадь панели</t>
  </si>
  <si>
    <t>Количество панелей</t>
  </si>
  <si>
    <t>доборные элементы</t>
  </si>
  <si>
    <t>2. Получите мгновенный ПРИМЕРНЫЙ расчет сметы строительства</t>
  </si>
  <si>
    <t>Цены могут быть НЕ АКТУАЛЬНЫЕ (уточните по телефону 8-913-225-8302 или отправьте файл на почту barnaulpiter@mail.ru)</t>
  </si>
  <si>
    <t>сайдинг</t>
  </si>
  <si>
    <t>подсистема</t>
  </si>
  <si>
    <t>Желоб водосточный, 3м</t>
  </si>
  <si>
    <t>шт.</t>
  </si>
  <si>
    <t>Труба водосточная, 3м</t>
  </si>
  <si>
    <t>Соединитель желобов</t>
  </si>
  <si>
    <t>Муфта соединительная</t>
  </si>
  <si>
    <t>Угловой элемент 90º</t>
  </si>
  <si>
    <t>Угловой элемент 135º</t>
  </si>
  <si>
    <t>Заглушка</t>
  </si>
  <si>
    <t>Заглушка воронки</t>
  </si>
  <si>
    <t>Крепление регулируемое*</t>
  </si>
  <si>
    <t>Кронштейн желоба</t>
  </si>
  <si>
    <t>Воронка</t>
  </si>
  <si>
    <t>Колено 45º</t>
  </si>
  <si>
    <t>Колено 72º</t>
  </si>
  <si>
    <t>Хомут универсальный</t>
  </si>
  <si>
    <t>Наконечник</t>
  </si>
  <si>
    <t>Сетка защитная</t>
  </si>
  <si>
    <t>Кронштейн желоба металл. 300 мм</t>
  </si>
  <si>
    <t>Шпилька специальная с гайкой</t>
  </si>
  <si>
    <t>Пломбир</t>
  </si>
  <si>
    <t>Шоколад</t>
  </si>
  <si>
    <t>Размеры дома (введите свои)</t>
  </si>
  <si>
    <t>4. Отправьте готовый файл на barnaulpiter@mail.ru или на наш сайт (напишите, какие материалы Вам нужны) И мы ответим по наличию и актуальной цене заказа</t>
  </si>
  <si>
    <t>Заказать!</t>
  </si>
  <si>
    <t>Получите подробную консультацию и уточните цены с ВАШЕЙ СКИДКОЙ по телефону 8-913-225-83-02 (пн-пт, 9-18 ч) - Бийск, Барнаул, Новокузнецк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</si>
</sst>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0" borderId="0" xfId="2" applyAlignment="1" applyProtection="1"/>
    <xf numFmtId="0" fontId="8" fillId="0" borderId="0" xfId="2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6</xdr:col>
      <xdr:colOff>200025</xdr:colOff>
      <xdr:row>22</xdr:row>
      <xdr:rowOff>47625</xdr:rowOff>
    </xdr:to>
    <xdr:sp macro="" textlink="">
      <xdr:nvSpPr>
        <xdr:cNvPr id="2" name="Равнобедренный треугольник 1"/>
        <xdr:cNvSpPr/>
      </xdr:nvSpPr>
      <xdr:spPr>
        <a:xfrm>
          <a:off x="3619500" y="3619500"/>
          <a:ext cx="1419225" cy="619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95251</xdr:colOff>
      <xdr:row>18</xdr:row>
      <xdr:rowOff>171451</xdr:rowOff>
    </xdr:from>
    <xdr:to>
      <xdr:col>5</xdr:col>
      <xdr:colOff>104776</xdr:colOff>
      <xdr:row>22</xdr:row>
      <xdr:rowOff>28579</xdr:rowOff>
    </xdr:to>
    <xdr:cxnSp macro="">
      <xdr:nvCxnSpPr>
        <xdr:cNvPr id="3" name="Прямая со стрелкой 2"/>
        <xdr:cNvCxnSpPr/>
      </xdr:nvCxnSpPr>
      <xdr:spPr>
        <a:xfrm rot="16200000" flipH="1">
          <a:off x="4019550" y="3905252"/>
          <a:ext cx="619128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18</xdr:row>
      <xdr:rowOff>85725</xdr:rowOff>
    </xdr:from>
    <xdr:to>
      <xdr:col>1</xdr:col>
      <xdr:colOff>819150</xdr:colOff>
      <xdr:row>21</xdr:row>
      <xdr:rowOff>104775</xdr:rowOff>
    </xdr:to>
    <xdr:sp macro="" textlink="">
      <xdr:nvSpPr>
        <xdr:cNvPr id="4" name="Параллелограмм 3"/>
        <xdr:cNvSpPr/>
      </xdr:nvSpPr>
      <xdr:spPr>
        <a:xfrm>
          <a:off x="742950" y="3514725"/>
          <a:ext cx="685800" cy="590550"/>
        </a:xfrm>
        <a:prstGeom prst="parallelogra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419101</xdr:colOff>
      <xdr:row>18</xdr:row>
      <xdr:rowOff>95254</xdr:rowOff>
    </xdr:from>
    <xdr:to>
      <xdr:col>1</xdr:col>
      <xdr:colOff>523879</xdr:colOff>
      <xdr:row>21</xdr:row>
      <xdr:rowOff>104779</xdr:rowOff>
    </xdr:to>
    <xdr:cxnSp macro="">
      <xdr:nvCxnSpPr>
        <xdr:cNvPr id="5" name="Прямая со стрелкой 4"/>
        <xdr:cNvCxnSpPr/>
      </xdr:nvCxnSpPr>
      <xdr:spPr>
        <a:xfrm rot="5400000">
          <a:off x="790577" y="3762378"/>
          <a:ext cx="581025" cy="10477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333377</xdr:colOff>
      <xdr:row>18</xdr:row>
      <xdr:rowOff>47624</xdr:rowOff>
    </xdr:from>
    <xdr:to>
      <xdr:col>2</xdr:col>
      <xdr:colOff>885825</xdr:colOff>
      <xdr:row>18</xdr:row>
      <xdr:rowOff>47629</xdr:rowOff>
    </xdr:to>
    <xdr:cxnSp macro="">
      <xdr:nvCxnSpPr>
        <xdr:cNvPr id="7" name="Прямая со стрелкой 6"/>
        <xdr:cNvCxnSpPr/>
      </xdr:nvCxnSpPr>
      <xdr:spPr>
        <a:xfrm rot="10800000" flipV="1">
          <a:off x="1828802" y="3476624"/>
          <a:ext cx="552448" cy="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18</xdr:row>
      <xdr:rowOff>133350</xdr:rowOff>
    </xdr:from>
    <xdr:to>
      <xdr:col>2</xdr:col>
      <xdr:colOff>866775</xdr:colOff>
      <xdr:row>21</xdr:row>
      <xdr:rowOff>152400</xdr:rowOff>
    </xdr:to>
    <xdr:sp macro="" textlink="">
      <xdr:nvSpPr>
        <xdr:cNvPr id="8" name="Параллелограмм 7"/>
        <xdr:cNvSpPr/>
      </xdr:nvSpPr>
      <xdr:spPr>
        <a:xfrm>
          <a:off x="1676400" y="3562350"/>
          <a:ext cx="685800" cy="590550"/>
        </a:xfrm>
        <a:prstGeom prst="parallelogra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9525</xdr:rowOff>
    </xdr:from>
    <xdr:to>
      <xdr:col>1</xdr:col>
      <xdr:colOff>371475</xdr:colOff>
      <xdr:row>14</xdr:row>
      <xdr:rowOff>57150</xdr:rowOff>
    </xdr:to>
    <xdr:sp macro="" textlink="">
      <xdr:nvSpPr>
        <xdr:cNvPr id="2" name="Равнобедренный треугольник 1"/>
        <xdr:cNvSpPr/>
      </xdr:nvSpPr>
      <xdr:spPr>
        <a:xfrm>
          <a:off x="400050" y="3609975"/>
          <a:ext cx="733425" cy="619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1095380</xdr:colOff>
      <xdr:row>11</xdr:row>
      <xdr:rowOff>19054</xdr:rowOff>
    </xdr:from>
    <xdr:to>
      <xdr:col>0</xdr:col>
      <xdr:colOff>1104905</xdr:colOff>
      <xdr:row>14</xdr:row>
      <xdr:rowOff>66682</xdr:rowOff>
    </xdr:to>
    <xdr:cxnSp macro="">
      <xdr:nvCxnSpPr>
        <xdr:cNvPr id="3" name="Прямая со стрелкой 2"/>
        <xdr:cNvCxnSpPr/>
      </xdr:nvCxnSpPr>
      <xdr:spPr>
        <a:xfrm rot="16200000" flipH="1">
          <a:off x="790579" y="4114805"/>
          <a:ext cx="619128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12</xdr:row>
      <xdr:rowOff>0</xdr:rowOff>
    </xdr:from>
    <xdr:to>
      <xdr:col>2</xdr:col>
      <xdr:colOff>914401</xdr:colOff>
      <xdr:row>15</xdr:row>
      <xdr:rowOff>47625</xdr:rowOff>
    </xdr:to>
    <xdr:sp macro="" textlink="">
      <xdr:nvSpPr>
        <xdr:cNvPr id="5" name="Равнобедренный треугольник 4"/>
        <xdr:cNvSpPr/>
      </xdr:nvSpPr>
      <xdr:spPr>
        <a:xfrm>
          <a:off x="1619251" y="4171950"/>
          <a:ext cx="914400" cy="619125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76203</xdr:colOff>
      <xdr:row>14</xdr:row>
      <xdr:rowOff>180974</xdr:rowOff>
    </xdr:from>
    <xdr:to>
      <xdr:col>2</xdr:col>
      <xdr:colOff>790576</xdr:colOff>
      <xdr:row>14</xdr:row>
      <xdr:rowOff>180977</xdr:rowOff>
    </xdr:to>
    <xdr:cxnSp macro="">
      <xdr:nvCxnSpPr>
        <xdr:cNvPr id="6" name="Прямая со стрелкой 5"/>
        <xdr:cNvCxnSpPr/>
      </xdr:nvCxnSpPr>
      <xdr:spPr>
        <a:xfrm rot="10800000" flipV="1">
          <a:off x="1695453" y="4733924"/>
          <a:ext cx="714373" cy="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13</xdr:row>
      <xdr:rowOff>66676</xdr:rowOff>
    </xdr:from>
    <xdr:to>
      <xdr:col>1</xdr:col>
      <xdr:colOff>495300</xdr:colOff>
      <xdr:row>14</xdr:row>
      <xdr:rowOff>276226</xdr:rowOff>
    </xdr:to>
    <xdr:sp macro="" textlink="">
      <xdr:nvSpPr>
        <xdr:cNvPr id="15" name="Параллелограмм 14"/>
        <xdr:cNvSpPr/>
      </xdr:nvSpPr>
      <xdr:spPr>
        <a:xfrm>
          <a:off x="1885950" y="5743576"/>
          <a:ext cx="504825" cy="400050"/>
        </a:xfrm>
        <a:prstGeom prst="parallelogra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480219</xdr:colOff>
      <xdr:row>17</xdr:row>
      <xdr:rowOff>48419</xdr:rowOff>
    </xdr:from>
    <xdr:to>
      <xdr:col>2</xdr:col>
      <xdr:colOff>481807</xdr:colOff>
      <xdr:row>18</xdr:row>
      <xdr:rowOff>124619</xdr:rowOff>
    </xdr:to>
    <xdr:cxnSp macro="">
      <xdr:nvCxnSpPr>
        <xdr:cNvPr id="4" name="Прямая со стрелкой 3"/>
        <xdr:cNvCxnSpPr>
          <a:stCxn id="2" idx="0"/>
          <a:endCxn id="2" idx="3"/>
        </xdr:cNvCxnSpPr>
      </xdr:nvCxnSpPr>
      <xdr:spPr>
        <a:xfrm rot="16200000" flipH="1">
          <a:off x="3109913" y="7791450"/>
          <a:ext cx="2667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17</xdr:row>
      <xdr:rowOff>47625</xdr:rowOff>
    </xdr:from>
    <xdr:to>
      <xdr:col>3</xdr:col>
      <xdr:colOff>85725</xdr:colOff>
      <xdr:row>18</xdr:row>
      <xdr:rowOff>123825</xdr:rowOff>
    </xdr:to>
    <xdr:sp macro="" textlink="">
      <xdr:nvSpPr>
        <xdr:cNvPr id="2" name="Равнобедренный треугольник 1"/>
        <xdr:cNvSpPr/>
      </xdr:nvSpPr>
      <xdr:spPr>
        <a:xfrm>
          <a:off x="2876550" y="7658100"/>
          <a:ext cx="733425" cy="2667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480219</xdr:colOff>
      <xdr:row>17</xdr:row>
      <xdr:rowOff>48419</xdr:rowOff>
    </xdr:from>
    <xdr:to>
      <xdr:col>2</xdr:col>
      <xdr:colOff>481807</xdr:colOff>
      <xdr:row>18</xdr:row>
      <xdr:rowOff>124619</xdr:rowOff>
    </xdr:to>
    <xdr:cxnSp macro="">
      <xdr:nvCxnSpPr>
        <xdr:cNvPr id="6" name="Прямая со стрелкой 5"/>
        <xdr:cNvCxnSpPr>
          <a:stCxn id="2" idx="0"/>
          <a:endCxn id="2" idx="3"/>
        </xdr:cNvCxnSpPr>
      </xdr:nvCxnSpPr>
      <xdr:spPr>
        <a:xfrm rot="16200000" flipH="1">
          <a:off x="3109913" y="7791450"/>
          <a:ext cx="2667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</xdr:rowOff>
    </xdr:from>
    <xdr:to>
      <xdr:col>2</xdr:col>
      <xdr:colOff>685800</xdr:colOff>
      <xdr:row>14</xdr:row>
      <xdr:rowOff>190500</xdr:rowOff>
    </xdr:to>
    <xdr:sp macro="" textlink="">
      <xdr:nvSpPr>
        <xdr:cNvPr id="17" name="Параллелограмм 16"/>
        <xdr:cNvSpPr/>
      </xdr:nvSpPr>
      <xdr:spPr>
        <a:xfrm>
          <a:off x="2762250" y="5676901"/>
          <a:ext cx="685800" cy="380999"/>
        </a:xfrm>
        <a:prstGeom prst="parallelogra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161925</xdr:colOff>
      <xdr:row>13</xdr:row>
      <xdr:rowOff>47625</xdr:rowOff>
    </xdr:from>
    <xdr:to>
      <xdr:col>2</xdr:col>
      <xdr:colOff>219075</xdr:colOff>
      <xdr:row>14</xdr:row>
      <xdr:rowOff>142875</xdr:rowOff>
    </xdr:to>
    <xdr:cxnSp macro="">
      <xdr:nvCxnSpPr>
        <xdr:cNvPr id="18" name="Прямая со стрелкой 17"/>
        <xdr:cNvCxnSpPr/>
      </xdr:nvCxnSpPr>
      <xdr:spPr>
        <a:xfrm rot="5400000">
          <a:off x="4000500" y="2790825"/>
          <a:ext cx="285750" cy="5715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28576</xdr:colOff>
      <xdr:row>14</xdr:row>
      <xdr:rowOff>171449</xdr:rowOff>
    </xdr:from>
    <xdr:to>
      <xdr:col>1</xdr:col>
      <xdr:colOff>304801</xdr:colOff>
      <xdr:row>14</xdr:row>
      <xdr:rowOff>180974</xdr:rowOff>
    </xdr:to>
    <xdr:cxnSp macro="">
      <xdr:nvCxnSpPr>
        <xdr:cNvPr id="27" name="Прямая со стрелкой 26"/>
        <xdr:cNvCxnSpPr/>
      </xdr:nvCxnSpPr>
      <xdr:spPr>
        <a:xfrm rot="10800000" flipV="1">
          <a:off x="1924051" y="6038849"/>
          <a:ext cx="27622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6</xdr:row>
      <xdr:rowOff>47625</xdr:rowOff>
    </xdr:from>
    <xdr:to>
      <xdr:col>2</xdr:col>
      <xdr:colOff>0</xdr:colOff>
      <xdr:row>6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1409700"/>
          <a:ext cx="752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7</xdr:row>
      <xdr:rowOff>38100</xdr:rowOff>
    </xdr:from>
    <xdr:to>
      <xdr:col>2</xdr:col>
      <xdr:colOff>0</xdr:colOff>
      <xdr:row>7</xdr:row>
      <xdr:rowOff>190500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5975" y="1905000"/>
          <a:ext cx="8858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8</xdr:row>
      <xdr:rowOff>28575</xdr:rowOff>
    </xdr:from>
    <xdr:to>
      <xdr:col>2</xdr:col>
      <xdr:colOff>0</xdr:colOff>
      <xdr:row>8</xdr:row>
      <xdr:rowOff>190500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62175" y="2400300"/>
          <a:ext cx="647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9</xdr:row>
      <xdr:rowOff>19050</xdr:rowOff>
    </xdr:from>
    <xdr:to>
      <xdr:col>2</xdr:col>
      <xdr:colOff>0</xdr:colOff>
      <xdr:row>9</xdr:row>
      <xdr:rowOff>190500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43150" y="2895600"/>
          <a:ext cx="400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</xdr:row>
      <xdr:rowOff>9525</xdr:rowOff>
    </xdr:from>
    <xdr:to>
      <xdr:col>2</xdr:col>
      <xdr:colOff>0</xdr:colOff>
      <xdr:row>10</xdr:row>
      <xdr:rowOff>190500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24075" y="3390900"/>
          <a:ext cx="771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11</xdr:row>
      <xdr:rowOff>28575</xdr:rowOff>
    </xdr:from>
    <xdr:to>
      <xdr:col>2</xdr:col>
      <xdr:colOff>0</xdr:colOff>
      <xdr:row>11</xdr:row>
      <xdr:rowOff>190500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86000" y="3914775"/>
          <a:ext cx="571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13</xdr:row>
      <xdr:rowOff>28575</xdr:rowOff>
    </xdr:from>
    <xdr:to>
      <xdr:col>2</xdr:col>
      <xdr:colOff>0</xdr:colOff>
      <xdr:row>13</xdr:row>
      <xdr:rowOff>190500</xdr:rowOff>
    </xdr:to>
    <xdr:pic>
      <xdr:nvPicPr>
        <xdr:cNvPr id="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66950" y="4924425"/>
          <a:ext cx="6762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12</xdr:row>
      <xdr:rowOff>9525</xdr:rowOff>
    </xdr:from>
    <xdr:to>
      <xdr:col>2</xdr:col>
      <xdr:colOff>0</xdr:colOff>
      <xdr:row>12</xdr:row>
      <xdr:rowOff>190500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28850" y="4400550"/>
          <a:ext cx="676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15</xdr:row>
      <xdr:rowOff>38100</xdr:rowOff>
    </xdr:from>
    <xdr:to>
      <xdr:col>2</xdr:col>
      <xdr:colOff>0</xdr:colOff>
      <xdr:row>15</xdr:row>
      <xdr:rowOff>190500</xdr:rowOff>
    </xdr:to>
    <xdr:pic>
      <xdr:nvPicPr>
        <xdr:cNvPr id="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05050" y="5943600"/>
          <a:ext cx="581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16</xdr:row>
      <xdr:rowOff>38100</xdr:rowOff>
    </xdr:from>
    <xdr:to>
      <xdr:col>2</xdr:col>
      <xdr:colOff>0</xdr:colOff>
      <xdr:row>16</xdr:row>
      <xdr:rowOff>190500</xdr:rowOff>
    </xdr:to>
    <xdr:pic>
      <xdr:nvPicPr>
        <xdr:cNvPr id="1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228850" y="6448425"/>
          <a:ext cx="666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17</xdr:row>
      <xdr:rowOff>28575</xdr:rowOff>
    </xdr:from>
    <xdr:to>
      <xdr:col>2</xdr:col>
      <xdr:colOff>0</xdr:colOff>
      <xdr:row>17</xdr:row>
      <xdr:rowOff>190500</xdr:rowOff>
    </xdr:to>
    <xdr:pic>
      <xdr:nvPicPr>
        <xdr:cNvPr id="1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19350" y="6943725"/>
          <a:ext cx="371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18</xdr:row>
      <xdr:rowOff>28575</xdr:rowOff>
    </xdr:from>
    <xdr:to>
      <xdr:col>2</xdr:col>
      <xdr:colOff>0</xdr:colOff>
      <xdr:row>18</xdr:row>
      <xdr:rowOff>190500</xdr:rowOff>
    </xdr:to>
    <xdr:pic>
      <xdr:nvPicPr>
        <xdr:cNvPr id="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457450" y="7448550"/>
          <a:ext cx="419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19</xdr:row>
      <xdr:rowOff>57150</xdr:rowOff>
    </xdr:from>
    <xdr:to>
      <xdr:col>2</xdr:col>
      <xdr:colOff>0</xdr:colOff>
      <xdr:row>19</xdr:row>
      <xdr:rowOff>190500</xdr:rowOff>
    </xdr:to>
    <xdr:pic>
      <xdr:nvPicPr>
        <xdr:cNvPr id="1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276475" y="7981950"/>
          <a:ext cx="6381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20</xdr:row>
      <xdr:rowOff>19050</xdr:rowOff>
    </xdr:from>
    <xdr:to>
      <xdr:col>2</xdr:col>
      <xdr:colOff>0</xdr:colOff>
      <xdr:row>20</xdr:row>
      <xdr:rowOff>190500</xdr:rowOff>
    </xdr:to>
    <xdr:pic>
      <xdr:nvPicPr>
        <xdr:cNvPr id="1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447925" y="8448675"/>
          <a:ext cx="2762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21</xdr:row>
      <xdr:rowOff>47625</xdr:rowOff>
    </xdr:from>
    <xdr:to>
      <xdr:col>2</xdr:col>
      <xdr:colOff>0</xdr:colOff>
      <xdr:row>21</xdr:row>
      <xdr:rowOff>190500</xdr:rowOff>
    </xdr:to>
    <xdr:pic>
      <xdr:nvPicPr>
        <xdr:cNvPr id="16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33625" y="8982075"/>
          <a:ext cx="4667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22</xdr:row>
      <xdr:rowOff>57150</xdr:rowOff>
    </xdr:from>
    <xdr:to>
      <xdr:col>2</xdr:col>
      <xdr:colOff>0</xdr:colOff>
      <xdr:row>22</xdr:row>
      <xdr:rowOff>190500</xdr:rowOff>
    </xdr:to>
    <xdr:pic>
      <xdr:nvPicPr>
        <xdr:cNvPr id="1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038350" y="9496425"/>
          <a:ext cx="9429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23</xdr:row>
      <xdr:rowOff>28575</xdr:rowOff>
    </xdr:from>
    <xdr:to>
      <xdr:col>2</xdr:col>
      <xdr:colOff>0</xdr:colOff>
      <xdr:row>23</xdr:row>
      <xdr:rowOff>190500</xdr:rowOff>
    </xdr:to>
    <xdr:pic>
      <xdr:nvPicPr>
        <xdr:cNvPr id="18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066925" y="9972675"/>
          <a:ext cx="885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38100</xdr:rowOff>
    </xdr:from>
    <xdr:to>
      <xdr:col>2</xdr:col>
      <xdr:colOff>0</xdr:colOff>
      <xdr:row>14</xdr:row>
      <xdr:rowOff>190500</xdr:rowOff>
    </xdr:to>
    <xdr:pic>
      <xdr:nvPicPr>
        <xdr:cNvPr id="1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990725" y="5438775"/>
          <a:ext cx="10382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0</xdr:col>
      <xdr:colOff>619126</xdr:colOff>
      <xdr:row>8</xdr:row>
      <xdr:rowOff>180975</xdr:rowOff>
    </xdr:to>
    <xdr:sp macro="" textlink="">
      <xdr:nvSpPr>
        <xdr:cNvPr id="2" name="Параллелограмм 1"/>
        <xdr:cNvSpPr/>
      </xdr:nvSpPr>
      <xdr:spPr>
        <a:xfrm>
          <a:off x="0" y="3400425"/>
          <a:ext cx="619126" cy="523875"/>
        </a:xfrm>
        <a:prstGeom prst="parallelogra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152400</xdr:colOff>
      <xdr:row>7</xdr:row>
      <xdr:rowOff>85725</xdr:rowOff>
    </xdr:from>
    <xdr:to>
      <xdr:col>1</xdr:col>
      <xdr:colOff>609600</xdr:colOff>
      <xdr:row>7</xdr:row>
      <xdr:rowOff>87313</xdr:rowOff>
    </xdr:to>
    <xdr:cxnSp macro="">
      <xdr:nvCxnSpPr>
        <xdr:cNvPr id="3" name="Прямая со стрелкой 2"/>
        <xdr:cNvCxnSpPr/>
      </xdr:nvCxnSpPr>
      <xdr:spPr>
        <a:xfrm rot="10800000">
          <a:off x="1104900" y="3638550"/>
          <a:ext cx="4572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1</xdr:rowOff>
    </xdr:from>
    <xdr:to>
      <xdr:col>1</xdr:col>
      <xdr:colOff>685800</xdr:colOff>
      <xdr:row>9</xdr:row>
      <xdr:rowOff>19051</xdr:rowOff>
    </xdr:to>
    <xdr:sp macro="" textlink="">
      <xdr:nvSpPr>
        <xdr:cNvPr id="4" name="Параллелограмм 3"/>
        <xdr:cNvSpPr/>
      </xdr:nvSpPr>
      <xdr:spPr>
        <a:xfrm>
          <a:off x="952500" y="3552826"/>
          <a:ext cx="685800" cy="400050"/>
        </a:xfrm>
        <a:prstGeom prst="parallelogra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19051</xdr:colOff>
      <xdr:row>8</xdr:row>
      <xdr:rowOff>123826</xdr:rowOff>
    </xdr:from>
    <xdr:to>
      <xdr:col>1</xdr:col>
      <xdr:colOff>504825</xdr:colOff>
      <xdr:row>8</xdr:row>
      <xdr:rowOff>133351</xdr:rowOff>
    </xdr:to>
    <xdr:cxnSp macro="">
      <xdr:nvCxnSpPr>
        <xdr:cNvPr id="5" name="Прямая со стрелкой 4"/>
        <xdr:cNvCxnSpPr/>
      </xdr:nvCxnSpPr>
      <xdr:spPr>
        <a:xfrm rot="10800000">
          <a:off x="628651" y="3495676"/>
          <a:ext cx="485774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95251</xdr:colOff>
      <xdr:row>6</xdr:row>
      <xdr:rowOff>66675</xdr:rowOff>
    </xdr:from>
    <xdr:to>
      <xdr:col>0</xdr:col>
      <xdr:colOff>180977</xdr:colOff>
      <xdr:row>8</xdr:row>
      <xdr:rowOff>95252</xdr:rowOff>
    </xdr:to>
    <xdr:cxnSp macro="">
      <xdr:nvCxnSpPr>
        <xdr:cNvPr id="6" name="Прямая со стрелкой 5"/>
        <xdr:cNvCxnSpPr/>
      </xdr:nvCxnSpPr>
      <xdr:spPr>
        <a:xfrm rot="5400000">
          <a:off x="-66675" y="3219451"/>
          <a:ext cx="409577" cy="857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0</xdr:col>
      <xdr:colOff>619126</xdr:colOff>
      <xdr:row>7</xdr:row>
      <xdr:rowOff>180975</xdr:rowOff>
    </xdr:to>
    <xdr:sp macro="" textlink="">
      <xdr:nvSpPr>
        <xdr:cNvPr id="2" name="Параллелограмм 1"/>
        <xdr:cNvSpPr/>
      </xdr:nvSpPr>
      <xdr:spPr>
        <a:xfrm>
          <a:off x="1895475" y="4791075"/>
          <a:ext cx="619126" cy="523875"/>
        </a:xfrm>
        <a:prstGeom prst="parallelogra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152400</xdr:colOff>
      <xdr:row>6</xdr:row>
      <xdr:rowOff>85725</xdr:rowOff>
    </xdr:from>
    <xdr:to>
      <xdr:col>1</xdr:col>
      <xdr:colOff>609600</xdr:colOff>
      <xdr:row>6</xdr:row>
      <xdr:rowOff>87313</xdr:rowOff>
    </xdr:to>
    <xdr:cxnSp macro="">
      <xdr:nvCxnSpPr>
        <xdr:cNvPr id="3" name="Прямая со стрелкой 2"/>
        <xdr:cNvCxnSpPr/>
      </xdr:nvCxnSpPr>
      <xdr:spPr>
        <a:xfrm rot="10800000">
          <a:off x="2324100" y="2305050"/>
          <a:ext cx="457200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1</xdr:rowOff>
    </xdr:from>
    <xdr:to>
      <xdr:col>1</xdr:col>
      <xdr:colOff>685800</xdr:colOff>
      <xdr:row>8</xdr:row>
      <xdr:rowOff>19051</xdr:rowOff>
    </xdr:to>
    <xdr:sp macro="" textlink="">
      <xdr:nvSpPr>
        <xdr:cNvPr id="4" name="Параллелограмм 3"/>
        <xdr:cNvSpPr/>
      </xdr:nvSpPr>
      <xdr:spPr>
        <a:xfrm>
          <a:off x="2762250" y="4943476"/>
          <a:ext cx="685800" cy="400050"/>
        </a:xfrm>
        <a:prstGeom prst="parallelogra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85725</xdr:colOff>
      <xdr:row>5</xdr:row>
      <xdr:rowOff>95250</xdr:rowOff>
    </xdr:from>
    <xdr:to>
      <xdr:col>0</xdr:col>
      <xdr:colOff>200025</xdr:colOff>
      <xdr:row>7</xdr:row>
      <xdr:rowOff>133350</xdr:rowOff>
    </xdr:to>
    <xdr:cxnSp macro="">
      <xdr:nvCxnSpPr>
        <xdr:cNvPr id="5" name="Прямая со стрелкой 4"/>
        <xdr:cNvCxnSpPr/>
      </xdr:nvCxnSpPr>
      <xdr:spPr>
        <a:xfrm rot="5400000">
          <a:off x="1152525" y="2276475"/>
          <a:ext cx="419100" cy="11430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19051</xdr:colOff>
      <xdr:row>7</xdr:row>
      <xdr:rowOff>123825</xdr:rowOff>
    </xdr:from>
    <xdr:to>
      <xdr:col>1</xdr:col>
      <xdr:colOff>619126</xdr:colOff>
      <xdr:row>7</xdr:row>
      <xdr:rowOff>125413</xdr:rowOff>
    </xdr:to>
    <xdr:cxnSp macro="">
      <xdr:nvCxnSpPr>
        <xdr:cNvPr id="7" name="Прямая со стрелкой 6"/>
        <xdr:cNvCxnSpPr/>
      </xdr:nvCxnSpPr>
      <xdr:spPr>
        <a:xfrm rot="10800000">
          <a:off x="971551" y="2343150"/>
          <a:ext cx="600075" cy="158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u22.ru/catalog/k-474699-uteplitel_teploizolyatsiya" TargetMode="External"/><Relationship Id="rId3" Type="http://schemas.openxmlformats.org/officeDocument/2006/relationships/hyperlink" Target="http://www.au22.ru/catalog/k-3406957-obshchestroitelnyye_materialy" TargetMode="External"/><Relationship Id="rId7" Type="http://schemas.openxmlformats.org/officeDocument/2006/relationships/hyperlink" Target="http://www.au22.ru/catalog/k-474699-uteplitel_teploizolyatsiya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au22.ru/contacts" TargetMode="External"/><Relationship Id="rId1" Type="http://schemas.openxmlformats.org/officeDocument/2006/relationships/hyperlink" Target="http://www.au22.ru/" TargetMode="External"/><Relationship Id="rId6" Type="http://schemas.openxmlformats.org/officeDocument/2006/relationships/hyperlink" Target="http://www.au22.ru/catalog/k-514323-vodostochnaya_sistema" TargetMode="External"/><Relationship Id="rId11" Type="http://schemas.openxmlformats.org/officeDocument/2006/relationships/hyperlink" Target="http://www.au22.ru/catalog/k-514242-profnastil" TargetMode="External"/><Relationship Id="rId5" Type="http://schemas.openxmlformats.org/officeDocument/2006/relationships/hyperlink" Target="http://www.au22.ru/catalog/k-514297-ondulin_yevroshifer" TargetMode="External"/><Relationship Id="rId10" Type="http://schemas.openxmlformats.org/officeDocument/2006/relationships/hyperlink" Target="http://www.au22.ru/catalog/k-3205754-kotly_dlitelnogo_goreniya" TargetMode="External"/><Relationship Id="rId4" Type="http://schemas.openxmlformats.org/officeDocument/2006/relationships/hyperlink" Target="http://www.au22.ru/catalog/k-474698-sayding" TargetMode="External"/><Relationship Id="rId9" Type="http://schemas.openxmlformats.org/officeDocument/2006/relationships/hyperlink" Target="http://www.au22.ru/catalog/k-3329723-radiatory_otopleniy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workbookViewId="0">
      <selection activeCell="E5" sqref="E5"/>
    </sheetView>
  </sheetViews>
  <sheetFormatPr defaultRowHeight="15"/>
  <cols>
    <col min="1" max="1" width="12.5703125" customWidth="1"/>
    <col min="2" max="2" width="13.28515625" customWidth="1"/>
    <col min="3" max="3" width="14" customWidth="1"/>
    <col min="4" max="4" width="17.85546875" customWidth="1"/>
    <col min="7" max="7" width="7.28515625" customWidth="1"/>
    <col min="8" max="8" width="21.5703125" customWidth="1"/>
    <col min="10" max="10" width="13.7109375" bestFit="1" customWidth="1"/>
  </cols>
  <sheetData>
    <row r="3" spans="1:11" ht="90" customHeight="1">
      <c r="A3" s="23" t="s">
        <v>174</v>
      </c>
      <c r="B3" s="23"/>
      <c r="C3" s="23"/>
      <c r="D3" s="23"/>
      <c r="E3" s="22" t="s">
        <v>40</v>
      </c>
      <c r="F3" s="22"/>
      <c r="G3" s="22"/>
    </row>
    <row r="6" spans="1:11">
      <c r="H6" t="s">
        <v>102</v>
      </c>
    </row>
    <row r="7" spans="1:11">
      <c r="A7" t="s">
        <v>121</v>
      </c>
      <c r="H7" s="21" t="s">
        <v>109</v>
      </c>
      <c r="J7">
        <f>газобетон!J5</f>
        <v>396630</v>
      </c>
      <c r="K7" s="21" t="s">
        <v>173</v>
      </c>
    </row>
    <row r="8" spans="1:11">
      <c r="A8" t="s">
        <v>122</v>
      </c>
      <c r="H8" s="21" t="s">
        <v>103</v>
      </c>
      <c r="J8">
        <f>сайдинг!B67</f>
        <v>51698.2</v>
      </c>
      <c r="K8" s="21" t="s">
        <v>173</v>
      </c>
    </row>
    <row r="9" spans="1:11">
      <c r="A9" t="s">
        <v>146</v>
      </c>
      <c r="H9" s="21" t="s">
        <v>111</v>
      </c>
      <c r="J9">
        <f>ондулин!G10</f>
        <v>50944</v>
      </c>
      <c r="K9" s="21" t="s">
        <v>173</v>
      </c>
    </row>
    <row r="10" spans="1:11">
      <c r="A10" t="s">
        <v>123</v>
      </c>
      <c r="H10" s="21" t="s">
        <v>105</v>
      </c>
      <c r="I10" t="s">
        <v>106</v>
      </c>
      <c r="J10">
        <f>утеплитель!J5</f>
        <v>67050</v>
      </c>
      <c r="K10" s="21" t="s">
        <v>173</v>
      </c>
    </row>
    <row r="11" spans="1:11">
      <c r="A11" s="22" t="s">
        <v>172</v>
      </c>
      <c r="B11" s="22"/>
      <c r="C11" s="22"/>
      <c r="D11" s="22"/>
      <c r="E11" s="2"/>
      <c r="F11" s="2"/>
      <c r="I11" t="s">
        <v>107</v>
      </c>
      <c r="J11">
        <f>утеплитель!$J$13</f>
        <v>28161</v>
      </c>
      <c r="K11" s="21" t="s">
        <v>173</v>
      </c>
    </row>
    <row r="12" spans="1:11" ht="29.25" customHeight="1">
      <c r="A12" s="22"/>
      <c r="B12" s="22"/>
      <c r="C12" s="22"/>
      <c r="D12" s="22"/>
      <c r="E12" s="2"/>
      <c r="F12" s="2"/>
      <c r="H12" s="21" t="s">
        <v>108</v>
      </c>
      <c r="J12">
        <f>водосток!G26</f>
        <v>7332</v>
      </c>
      <c r="K12" s="21" t="s">
        <v>173</v>
      </c>
    </row>
    <row r="13" spans="1:11" ht="21">
      <c r="B13" s="1" t="s">
        <v>171</v>
      </c>
      <c r="H13" s="21" t="s">
        <v>110</v>
      </c>
      <c r="J13">
        <f>радиаторы!E5</f>
        <v>14400</v>
      </c>
      <c r="K13" s="21" t="s">
        <v>173</v>
      </c>
    </row>
    <row r="14" spans="1:11" ht="21">
      <c r="A14" s="1" t="s">
        <v>97</v>
      </c>
      <c r="B14" t="s">
        <v>2</v>
      </c>
      <c r="C14" t="s">
        <v>3</v>
      </c>
      <c r="D14" t="s">
        <v>96</v>
      </c>
      <c r="H14" t="s">
        <v>116</v>
      </c>
      <c r="I14">
        <f>B15*C15/10</f>
        <v>8</v>
      </c>
      <c r="K14" s="21" t="s">
        <v>173</v>
      </c>
    </row>
    <row r="15" spans="1:11" ht="26.25">
      <c r="B15">
        <v>10</v>
      </c>
      <c r="C15">
        <v>8</v>
      </c>
      <c r="D15">
        <v>2.7</v>
      </c>
      <c r="H15" s="3" t="s">
        <v>19</v>
      </c>
      <c r="I15" s="3"/>
      <c r="J15" s="3">
        <f>SUM(J7:J14)</f>
        <v>616215.19999999995</v>
      </c>
    </row>
    <row r="17" spans="1:11" ht="21">
      <c r="A17" s="1" t="s">
        <v>98</v>
      </c>
      <c r="B17" t="s">
        <v>99</v>
      </c>
      <c r="C17" t="s">
        <v>100</v>
      </c>
      <c r="D17" t="s">
        <v>101</v>
      </c>
      <c r="E17" t="s">
        <v>76</v>
      </c>
      <c r="H17" s="21" t="s">
        <v>104</v>
      </c>
      <c r="I17">
        <f>профлист!K11</f>
        <v>37008</v>
      </c>
      <c r="K17" s="21" t="s">
        <v>173</v>
      </c>
    </row>
    <row r="18" spans="1:11">
      <c r="B18">
        <v>6</v>
      </c>
      <c r="C18">
        <f>B15+1</f>
        <v>11</v>
      </c>
      <c r="D18">
        <v>2</v>
      </c>
      <c r="E18">
        <v>5</v>
      </c>
    </row>
    <row r="26" spans="1:11">
      <c r="A26" t="s">
        <v>120</v>
      </c>
    </row>
    <row r="27" spans="1:11">
      <c r="A27" t="s">
        <v>147</v>
      </c>
    </row>
    <row r="28" spans="1:11">
      <c r="A28" t="s">
        <v>124</v>
      </c>
    </row>
  </sheetData>
  <mergeCells count="3">
    <mergeCell ref="E3:G3"/>
    <mergeCell ref="A11:D12"/>
    <mergeCell ref="A3:D3"/>
  </mergeCells>
  <hyperlinks>
    <hyperlink ref="E3:G3" r:id="rId1" display="Посмотрите полный каталог и выберите лучший вариант на сайте http://www.au22.ru"/>
    <hyperlink ref="H7" location="газобетон!A1" display="Газобетон"/>
    <hyperlink ref="H8" location="сайдинг!A1" display="Сайдинг"/>
    <hyperlink ref="H9" location="ондулин!A1" display="Ондулин"/>
    <hyperlink ref="H10" location="утеплитель!A1" display="Утеплитель"/>
    <hyperlink ref="H12" location="водосток!A1" display="Водосток"/>
    <hyperlink ref="H13" location="радиаторы!A1" display="Радиаторы"/>
    <hyperlink ref="H17" location="профлист!A1" display="Профлист"/>
    <hyperlink ref="A11:D12" r:id="rId2" display="4. Отправьте готовый файл на barnaulpiter@mail.ru или на наш сайт (напишите, какие материалы Вам нужны) И мы ответим по наличию и актуальной цене заказа"/>
    <hyperlink ref="K7" r:id="rId3"/>
    <hyperlink ref="K8" r:id="rId4"/>
    <hyperlink ref="K9" r:id="rId5"/>
    <hyperlink ref="K12" r:id="rId6"/>
    <hyperlink ref="K10" r:id="rId7"/>
    <hyperlink ref="K11" r:id="rId8"/>
    <hyperlink ref="K13" r:id="rId9"/>
    <hyperlink ref="K14" r:id="rId10"/>
    <hyperlink ref="K17" r:id="rId11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7"/>
  <sheetViews>
    <sheetView workbookViewId="0">
      <selection activeCell="C8" sqref="C8"/>
    </sheetView>
  </sheetViews>
  <sheetFormatPr defaultRowHeight="15"/>
  <cols>
    <col min="1" max="1" width="21.7109375" style="2" customWidth="1"/>
    <col min="2" max="2" width="12.85546875" style="2" customWidth="1"/>
    <col min="3" max="3" width="18" style="2" customWidth="1"/>
    <col min="4" max="4" width="13.7109375" style="2" customWidth="1"/>
    <col min="5" max="5" width="15.42578125" style="2" customWidth="1"/>
    <col min="6" max="16384" width="9.140625" style="2"/>
  </cols>
  <sheetData>
    <row r="5" spans="1:5" ht="45" customHeight="1">
      <c r="A5" s="24" t="s">
        <v>84</v>
      </c>
      <c r="B5" s="24"/>
      <c r="C5" s="24"/>
    </row>
    <row r="6" spans="1:5" ht="30">
      <c r="B6" s="2" t="s">
        <v>1</v>
      </c>
      <c r="D6" s="2" t="s">
        <v>80</v>
      </c>
    </row>
    <row r="7" spans="1:5">
      <c r="A7" s="2" t="s">
        <v>4</v>
      </c>
      <c r="B7" s="2" t="s">
        <v>2</v>
      </c>
      <c r="C7" s="2" t="s">
        <v>3</v>
      </c>
      <c r="D7" s="2" t="s">
        <v>6</v>
      </c>
    </row>
    <row r="8" spans="1:5">
      <c r="A8" s="2">
        <f>ГЛАВНАЯ!D15</f>
        <v>2.7</v>
      </c>
      <c r="B8" s="2">
        <f>ГЛАВНАЯ!B15</f>
        <v>10</v>
      </c>
      <c r="C8" s="2">
        <f>ГЛАВНАЯ!C15</f>
        <v>8</v>
      </c>
      <c r="D8" s="5">
        <f>(B8+C8)*2*A8</f>
        <v>97.2</v>
      </c>
    </row>
    <row r="10" spans="1:5" ht="58.5" customHeight="1">
      <c r="A10" s="24" t="s">
        <v>75</v>
      </c>
      <c r="B10" s="24"/>
      <c r="C10" s="24"/>
    </row>
    <row r="11" spans="1:5" ht="45" customHeight="1">
      <c r="B11" s="2" t="s">
        <v>76</v>
      </c>
      <c r="C11" s="2" t="s">
        <v>77</v>
      </c>
      <c r="D11" s="2" t="s">
        <v>78</v>
      </c>
      <c r="E11" s="2" t="s">
        <v>79</v>
      </c>
    </row>
    <row r="12" spans="1:5">
      <c r="B12" s="2">
        <v>7</v>
      </c>
      <c r="C12" s="2">
        <f>C8</f>
        <v>8</v>
      </c>
      <c r="D12" s="2">
        <v>2</v>
      </c>
      <c r="E12" s="5">
        <f>B12*C12*D12/2</f>
        <v>56</v>
      </c>
    </row>
    <row r="16" spans="1:5" ht="60" customHeight="1">
      <c r="A16" s="24" t="s">
        <v>83</v>
      </c>
      <c r="B16" s="24"/>
      <c r="C16" s="24"/>
    </row>
    <row r="18" spans="1:4" ht="30">
      <c r="A18" s="23" t="s">
        <v>72</v>
      </c>
      <c r="B18" s="23"/>
      <c r="C18" s="2" t="s">
        <v>71</v>
      </c>
      <c r="D18" s="2" t="s">
        <v>81</v>
      </c>
    </row>
    <row r="19" spans="1:4">
      <c r="A19" s="2" t="s">
        <v>73</v>
      </c>
      <c r="B19" s="2" t="s">
        <v>74</v>
      </c>
    </row>
    <row r="20" spans="1:4">
      <c r="A20" s="2">
        <v>1.5249999999999999</v>
      </c>
      <c r="B20" s="2">
        <v>1.22</v>
      </c>
      <c r="C20" s="2">
        <v>2</v>
      </c>
      <c r="D20" s="2">
        <f>A20*B20*C20</f>
        <v>3.7209999999999996</v>
      </c>
    </row>
    <row r="21" spans="1:4">
      <c r="A21" s="2">
        <v>1.5249999999999999</v>
      </c>
      <c r="B21" s="2">
        <v>1.5249999999999999</v>
      </c>
      <c r="C21" s="2">
        <v>3</v>
      </c>
      <c r="D21" s="2">
        <f>A21*B21*C21</f>
        <v>6.9768749999999988</v>
      </c>
    </row>
    <row r="23" spans="1:4" ht="30" customHeight="1">
      <c r="A23" s="23" t="s">
        <v>82</v>
      </c>
      <c r="B23" s="23"/>
    </row>
    <row r="24" spans="1:4">
      <c r="A24" s="2" t="s">
        <v>73</v>
      </c>
      <c r="B24" s="2" t="s">
        <v>74</v>
      </c>
    </row>
    <row r="25" spans="1:4">
      <c r="A25" s="2">
        <v>2</v>
      </c>
      <c r="B25" s="2">
        <v>0.9</v>
      </c>
      <c r="C25" s="2">
        <v>2</v>
      </c>
      <c r="D25" s="2">
        <f t="shared" ref="D25" si="0">A25*B25*C25</f>
        <v>3.6</v>
      </c>
    </row>
    <row r="26" spans="1:4" ht="30">
      <c r="A26" s="2" t="s">
        <v>86</v>
      </c>
      <c r="D26" s="2">
        <f>SUM(D20:D25)</f>
        <v>14.297874999999998</v>
      </c>
    </row>
    <row r="27" spans="1:4" ht="45" customHeight="1">
      <c r="A27" s="24" t="s">
        <v>94</v>
      </c>
      <c r="B27" s="24"/>
      <c r="C27" s="24"/>
    </row>
    <row r="28" spans="1:4" ht="33" customHeight="1">
      <c r="A28" s="5"/>
      <c r="B28" s="2" t="s">
        <v>95</v>
      </c>
      <c r="C28" s="5"/>
    </row>
    <row r="29" spans="1:4" ht="30">
      <c r="A29" s="2" t="s">
        <v>118</v>
      </c>
      <c r="B29" s="2">
        <v>0.4</v>
      </c>
      <c r="C29" s="2">
        <f>(ГЛАВНАЯ!C15+2*сайдинг!B30)*ГЛАВНАЯ!D18*сайдинг!B29</f>
        <v>6.88</v>
      </c>
    </row>
    <row r="30" spans="1:4" ht="30">
      <c r="A30" s="2" t="s">
        <v>117</v>
      </c>
      <c r="B30" s="2">
        <v>0.3</v>
      </c>
      <c r="C30" s="2">
        <f>(B29*2+ГЛАВНАЯ!B15)*ГЛАВНАЯ!D18*B30</f>
        <v>6.48</v>
      </c>
    </row>
    <row r="31" spans="1:4" ht="30">
      <c r="A31" s="2" t="s">
        <v>119</v>
      </c>
      <c r="C31" s="2">
        <f>SUM(C29:C30)</f>
        <v>13.36</v>
      </c>
    </row>
    <row r="32" spans="1:4" ht="60" customHeight="1">
      <c r="A32" s="23" t="s">
        <v>85</v>
      </c>
      <c r="B32" s="23"/>
      <c r="C32" s="23"/>
      <c r="D32" s="2">
        <f>E12+D8+C31-D26</f>
        <v>152.262125</v>
      </c>
    </row>
    <row r="33" spans="1:11" ht="60" customHeight="1">
      <c r="B33" s="2" t="s">
        <v>143</v>
      </c>
      <c r="C33" s="2" t="s">
        <v>144</v>
      </c>
      <c r="D33" s="2" t="s">
        <v>127</v>
      </c>
      <c r="E33" s="2" t="s">
        <v>50</v>
      </c>
    </row>
    <row r="34" spans="1:11">
      <c r="B34" s="2">
        <v>0.75</v>
      </c>
      <c r="C34" s="2">
        <f>ROUNDUP(D32/B34,0)</f>
        <v>204</v>
      </c>
      <c r="D34" s="2">
        <v>179</v>
      </c>
      <c r="E34" s="2">
        <f>C34*D34</f>
        <v>36516</v>
      </c>
    </row>
    <row r="38" spans="1:11" ht="45" customHeight="1">
      <c r="A38" s="24" t="s">
        <v>125</v>
      </c>
      <c r="B38" s="24"/>
      <c r="C38" s="24"/>
      <c r="D38" s="24"/>
    </row>
    <row r="39" spans="1:11" ht="90" customHeight="1">
      <c r="C39" s="2" t="s">
        <v>126</v>
      </c>
      <c r="E39" s="2" t="s">
        <v>127</v>
      </c>
      <c r="F39" s="2" t="s">
        <v>50</v>
      </c>
      <c r="H39" s="23" t="s">
        <v>92</v>
      </c>
      <c r="I39" s="23"/>
      <c r="J39" s="23"/>
      <c r="K39" s="23"/>
    </row>
    <row r="40" spans="1:11" ht="15" customHeight="1">
      <c r="A40" s="2" t="s">
        <v>87</v>
      </c>
      <c r="B40" s="2">
        <f>(ГЛАВНАЯ!B15+ГЛАВНАЯ!C15)*2</f>
        <v>36</v>
      </c>
      <c r="C40" s="2">
        <v>3</v>
      </c>
      <c r="D40" s="2">
        <f>ROUNDUP(B40/C40,0)</f>
        <v>12</v>
      </c>
      <c r="E40" s="2">
        <v>120</v>
      </c>
      <c r="F40" s="2">
        <f>E40*D40</f>
        <v>1440</v>
      </c>
      <c r="H40" s="23" t="s">
        <v>93</v>
      </c>
      <c r="I40" s="23"/>
      <c r="J40" s="23"/>
      <c r="K40" s="23"/>
    </row>
    <row r="41" spans="1:11">
      <c r="A41" s="2" t="s">
        <v>88</v>
      </c>
      <c r="B41" s="2">
        <f>ГЛАВНАЯ!B15*2+ГЛАВНАЯ!B18*2*ГЛАВНАЯ!D18</f>
        <v>44</v>
      </c>
      <c r="C41" s="2">
        <v>3</v>
      </c>
      <c r="D41" s="2">
        <f t="shared" ref="D41:D44" si="1">ROUNDUP(B41/C41,0)</f>
        <v>15</v>
      </c>
      <c r="E41" s="2">
        <v>120</v>
      </c>
      <c r="F41" s="2">
        <f t="shared" ref="F41:F44" si="2">E41*D41</f>
        <v>1800</v>
      </c>
      <c r="H41" s="23"/>
      <c r="I41" s="23"/>
      <c r="J41" s="23"/>
      <c r="K41" s="23"/>
    </row>
    <row r="42" spans="1:11">
      <c r="A42" s="2" t="s">
        <v>89</v>
      </c>
      <c r="B42" s="2">
        <f>ГЛАВНАЯ!D15*4</f>
        <v>10.8</v>
      </c>
      <c r="C42" s="2">
        <v>3</v>
      </c>
      <c r="D42" s="2">
        <f t="shared" si="1"/>
        <v>4</v>
      </c>
      <c r="E42" s="2">
        <v>370</v>
      </c>
      <c r="F42" s="2">
        <f t="shared" si="2"/>
        <v>1480</v>
      </c>
      <c r="H42" s="23"/>
      <c r="I42" s="23"/>
      <c r="J42" s="23"/>
      <c r="K42" s="23"/>
    </row>
    <row r="43" spans="1:11" ht="45">
      <c r="A43" s="2" t="s">
        <v>91</v>
      </c>
      <c r="C43" s="2">
        <v>3</v>
      </c>
      <c r="D43" s="2">
        <f t="shared" si="1"/>
        <v>0</v>
      </c>
      <c r="E43" s="2">
        <v>420</v>
      </c>
      <c r="F43" s="2">
        <f t="shared" si="2"/>
        <v>0</v>
      </c>
      <c r="H43" s="23"/>
      <c r="I43" s="23"/>
      <c r="J43" s="23"/>
      <c r="K43" s="23"/>
    </row>
    <row r="44" spans="1:11" ht="30">
      <c r="A44" s="2" t="s">
        <v>90</v>
      </c>
      <c r="B44" s="2">
        <f>((A20+B20)*C20+(A21+B21)*C21+(A22+B22)*C22+(A25+B25)*C25)*2</f>
        <v>40.879999999999995</v>
      </c>
      <c r="C44" s="2">
        <v>3</v>
      </c>
      <c r="D44" s="2">
        <f t="shared" si="1"/>
        <v>14</v>
      </c>
      <c r="E44" s="2">
        <v>150</v>
      </c>
      <c r="F44" s="2">
        <f t="shared" si="2"/>
        <v>2100</v>
      </c>
    </row>
    <row r="45" spans="1:11">
      <c r="A45" s="2" t="s">
        <v>128</v>
      </c>
      <c r="F45" s="2">
        <f>SUM(F40:F44)</f>
        <v>6820</v>
      </c>
    </row>
    <row r="48" spans="1:11" ht="42.75" customHeight="1">
      <c r="A48" s="2" t="s">
        <v>130</v>
      </c>
      <c r="B48" s="2" t="s">
        <v>134</v>
      </c>
      <c r="C48" s="2" t="s">
        <v>135</v>
      </c>
      <c r="D48" s="2" t="s">
        <v>142</v>
      </c>
      <c r="E48" s="2" t="s">
        <v>34</v>
      </c>
    </row>
    <row r="49" spans="1:5" ht="30">
      <c r="A49" s="2" t="s">
        <v>131</v>
      </c>
      <c r="B49" s="2">
        <f>B40</f>
        <v>36</v>
      </c>
    </row>
    <row r="50" spans="1:5" ht="30">
      <c r="A50" s="2" t="s">
        <v>132</v>
      </c>
      <c r="B50" s="2">
        <f>B41</f>
        <v>44</v>
      </c>
    </row>
    <row r="51" spans="1:5">
      <c r="A51" s="2" t="s">
        <v>138</v>
      </c>
      <c r="B51" s="2">
        <f>B43+B42</f>
        <v>10.8</v>
      </c>
    </row>
    <row r="52" spans="1:5" ht="30">
      <c r="A52" s="2" t="s">
        <v>139</v>
      </c>
      <c r="B52" s="2">
        <f>B44</f>
        <v>40.879999999999995</v>
      </c>
    </row>
    <row r="53" spans="1:5">
      <c r="A53" s="2" t="s">
        <v>133</v>
      </c>
      <c r="B53" s="2">
        <f>(ГЛАВНАЯ!B15+ГЛАВНАЯ!C15)*2*ГЛАВНАЯ!D15</f>
        <v>97.2</v>
      </c>
    </row>
    <row r="54" spans="1:5">
      <c r="A54" s="2" t="s">
        <v>140</v>
      </c>
      <c r="B54" s="2">
        <f>SUM(B49:B53)</f>
        <v>228.88</v>
      </c>
      <c r="C54" s="2">
        <f>ROUNDUP(B54/3,0)</f>
        <v>77</v>
      </c>
      <c r="D54" s="2">
        <v>83</v>
      </c>
      <c r="E54" s="2">
        <f>C54*D54</f>
        <v>6391</v>
      </c>
    </row>
    <row r="55" spans="1:5">
      <c r="A55" s="2" t="s">
        <v>136</v>
      </c>
      <c r="C55" s="2">
        <f>C54*4</f>
        <v>308</v>
      </c>
      <c r="D55" s="2">
        <v>3.5</v>
      </c>
      <c r="E55" s="2">
        <f t="shared" ref="E55:E57" si="3">C55*D55</f>
        <v>1078</v>
      </c>
    </row>
    <row r="56" spans="1:5" ht="30">
      <c r="A56" s="2" t="s">
        <v>137</v>
      </c>
      <c r="C56" s="2">
        <f>C55*3</f>
        <v>924</v>
      </c>
      <c r="D56" s="2">
        <v>0.3</v>
      </c>
      <c r="E56" s="2">
        <f t="shared" si="3"/>
        <v>277.2</v>
      </c>
    </row>
    <row r="57" spans="1:5" ht="30">
      <c r="A57" s="2" t="s">
        <v>141</v>
      </c>
      <c r="C57" s="2">
        <f>C55*2</f>
        <v>616</v>
      </c>
      <c r="D57" s="2">
        <v>1</v>
      </c>
      <c r="E57" s="2">
        <f t="shared" si="3"/>
        <v>616</v>
      </c>
    </row>
    <row r="58" spans="1:5">
      <c r="E58" s="2">
        <f>SUM(E54:E57)</f>
        <v>8362.2000000000007</v>
      </c>
    </row>
    <row r="62" spans="1:5" ht="23.25" customHeight="1">
      <c r="A62" s="5" t="s">
        <v>129</v>
      </c>
    </row>
    <row r="64" spans="1:5">
      <c r="A64" s="2" t="s">
        <v>148</v>
      </c>
      <c r="B64" s="2">
        <f>E34</f>
        <v>36516</v>
      </c>
    </row>
    <row r="65" spans="1:2">
      <c r="A65" s="2" t="s">
        <v>145</v>
      </c>
      <c r="B65" s="2">
        <f>F45</f>
        <v>6820</v>
      </c>
    </row>
    <row r="66" spans="1:2">
      <c r="A66" s="2" t="s">
        <v>149</v>
      </c>
      <c r="B66" s="2">
        <f>E58</f>
        <v>8362.2000000000007</v>
      </c>
    </row>
    <row r="67" spans="1:2">
      <c r="A67" s="2" t="s">
        <v>19</v>
      </c>
      <c r="B67" s="2">
        <f>SUM(B64:B66)</f>
        <v>51698.2</v>
      </c>
    </row>
  </sheetData>
  <mergeCells count="10">
    <mergeCell ref="A18:B18"/>
    <mergeCell ref="A23:B23"/>
    <mergeCell ref="A16:C16"/>
    <mergeCell ref="A10:C10"/>
    <mergeCell ref="A5:C5"/>
    <mergeCell ref="A32:C32"/>
    <mergeCell ref="A38:D38"/>
    <mergeCell ref="A27:C27"/>
    <mergeCell ref="H39:K39"/>
    <mergeCell ref="H40:K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C1"/>
    </sheetView>
  </sheetViews>
  <sheetFormatPr defaultRowHeight="15"/>
  <cols>
    <col min="1" max="1" width="28.42578125" style="2" customWidth="1"/>
    <col min="2" max="2" width="13" style="2" customWidth="1"/>
    <col min="3" max="3" width="11.42578125" style="2" customWidth="1"/>
    <col min="4" max="4" width="14.140625" style="2" customWidth="1"/>
    <col min="5" max="5" width="12.28515625" style="2" customWidth="1"/>
    <col min="6" max="16384" width="9.140625" style="2"/>
  </cols>
  <sheetData>
    <row r="1" spans="1:10" ht="54" customHeight="1">
      <c r="A1" s="23" t="s">
        <v>174</v>
      </c>
      <c r="B1" s="23"/>
      <c r="C1" s="23"/>
      <c r="E1" s="23" t="s">
        <v>40</v>
      </c>
      <c r="F1" s="23"/>
      <c r="G1" s="23"/>
    </row>
    <row r="2" spans="1:10" ht="48.75" customHeight="1">
      <c r="A2" s="4" t="s">
        <v>0</v>
      </c>
      <c r="B2" s="23" t="s">
        <v>10</v>
      </c>
      <c r="C2" s="23"/>
      <c r="D2" s="23"/>
      <c r="E2" s="23"/>
    </row>
    <row r="3" spans="1:10" ht="60">
      <c r="C3" s="2" t="s">
        <v>1</v>
      </c>
      <c r="F3" s="2" t="s">
        <v>5</v>
      </c>
      <c r="I3" s="2" t="s">
        <v>35</v>
      </c>
      <c r="J3" s="2" t="s">
        <v>36</v>
      </c>
    </row>
    <row r="4" spans="1:10" ht="45">
      <c r="A4" s="2" t="s">
        <v>13</v>
      </c>
      <c r="B4" s="2" t="s">
        <v>4</v>
      </c>
      <c r="C4" s="2" t="s">
        <v>2</v>
      </c>
      <c r="D4" s="2" t="s">
        <v>3</v>
      </c>
      <c r="E4" s="2" t="s">
        <v>9</v>
      </c>
      <c r="F4" s="2" t="s">
        <v>6</v>
      </c>
      <c r="G4" s="2" t="s">
        <v>7</v>
      </c>
      <c r="H4" s="2" t="s">
        <v>8</v>
      </c>
    </row>
    <row r="5" spans="1:10">
      <c r="A5" s="2">
        <v>100</v>
      </c>
      <c r="B5" s="2">
        <f>ГЛАВНАЯ!D15</f>
        <v>2.7</v>
      </c>
      <c r="C5" s="2">
        <f>ГЛАВНАЯ!B15</f>
        <v>10</v>
      </c>
      <c r="D5" s="2">
        <f>ГЛАВНАЯ!C15</f>
        <v>8</v>
      </c>
      <c r="E5" s="2">
        <v>0.28799999999999998</v>
      </c>
      <c r="F5" s="2">
        <f>B5*C5*D5*2</f>
        <v>432</v>
      </c>
      <c r="G5" s="2">
        <f>F5*A5/1000</f>
        <v>43.2</v>
      </c>
      <c r="H5" s="2">
        <f>ROUNDUP(G5/E5,0)</f>
        <v>150</v>
      </c>
      <c r="I5" s="2">
        <v>447</v>
      </c>
      <c r="J5" s="2">
        <f>I5*H5</f>
        <v>67050</v>
      </c>
    </row>
    <row r="9" spans="1:10" ht="44.25" customHeight="1">
      <c r="A9" s="4" t="s">
        <v>11</v>
      </c>
      <c r="B9" s="23"/>
      <c r="C9" s="23"/>
      <c r="D9" s="23"/>
    </row>
    <row r="10" spans="1:10">
      <c r="A10" s="5" t="s">
        <v>23</v>
      </c>
    </row>
    <row r="11" spans="1:10" ht="60">
      <c r="B11" s="2" t="s">
        <v>14</v>
      </c>
      <c r="F11" s="23" t="s">
        <v>5</v>
      </c>
      <c r="G11" s="23"/>
      <c r="H11" s="23"/>
      <c r="I11" s="2" t="s">
        <v>35</v>
      </c>
      <c r="J11" s="2" t="s">
        <v>36</v>
      </c>
    </row>
    <row r="12" spans="1:10" ht="45">
      <c r="A12" s="2" t="s">
        <v>13</v>
      </c>
      <c r="B12" s="2" t="s">
        <v>15</v>
      </c>
      <c r="C12" s="2" t="s">
        <v>16</v>
      </c>
      <c r="D12" s="2" t="s">
        <v>9</v>
      </c>
      <c r="E12" s="2" t="s">
        <v>112</v>
      </c>
      <c r="F12" s="2" t="s">
        <v>6</v>
      </c>
      <c r="G12" s="2" t="s">
        <v>7</v>
      </c>
      <c r="H12" s="2" t="s">
        <v>8</v>
      </c>
    </row>
    <row r="13" spans="1:10">
      <c r="A13" s="2">
        <v>150</v>
      </c>
      <c r="B13" s="2">
        <f>ГЛАВНАЯ!B15</f>
        <v>10</v>
      </c>
      <c r="C13" s="2">
        <f>ГЛАВНАЯ!B18</f>
        <v>6</v>
      </c>
      <c r="D13" s="2">
        <v>0.28799999999999998</v>
      </c>
      <c r="E13" s="2">
        <f>ГЛАВНАЯ!D18</f>
        <v>2</v>
      </c>
      <c r="F13" s="2">
        <f>B13*C13*E13</f>
        <v>120</v>
      </c>
      <c r="G13" s="2">
        <f>F13*A13/1000</f>
        <v>18</v>
      </c>
      <c r="H13" s="2">
        <f t="shared" ref="H13" si="0">ROUNDUP(G13/D13,0)</f>
        <v>63</v>
      </c>
      <c r="I13" s="2">
        <v>447</v>
      </c>
      <c r="J13" s="2">
        <f>I13*H13</f>
        <v>28161</v>
      </c>
    </row>
    <row r="15" spans="1:10" ht="60">
      <c r="A15" s="5" t="s">
        <v>21</v>
      </c>
      <c r="B15" s="23" t="s">
        <v>14</v>
      </c>
      <c r="C15" s="23"/>
      <c r="F15" s="23" t="s">
        <v>5</v>
      </c>
      <c r="G15" s="23"/>
      <c r="H15" s="23"/>
      <c r="I15" s="2" t="s">
        <v>35</v>
      </c>
      <c r="J15" s="2" t="s">
        <v>36</v>
      </c>
    </row>
    <row r="16" spans="1:10" ht="62.25" customHeight="1">
      <c r="A16" s="2" t="s">
        <v>13</v>
      </c>
      <c r="B16" s="2" t="s">
        <v>15</v>
      </c>
      <c r="C16" s="2" t="s">
        <v>20</v>
      </c>
      <c r="D16" s="2" t="s">
        <v>22</v>
      </c>
      <c r="E16" s="2" t="s">
        <v>9</v>
      </c>
      <c r="F16" s="2" t="s">
        <v>6</v>
      </c>
      <c r="G16" s="2" t="s">
        <v>7</v>
      </c>
      <c r="H16" s="2" t="s">
        <v>8</v>
      </c>
    </row>
    <row r="17" spans="1:10">
      <c r="A17" s="2">
        <v>150</v>
      </c>
      <c r="B17" s="2">
        <v>10</v>
      </c>
      <c r="C17" s="2">
        <v>6</v>
      </c>
      <c r="D17" s="2">
        <v>4</v>
      </c>
      <c r="E17" s="2">
        <v>0.28799999999999998</v>
      </c>
      <c r="F17" s="2">
        <f>B17*C17*D17</f>
        <v>240</v>
      </c>
      <c r="G17" s="2">
        <f>F17*A17/1000</f>
        <v>36</v>
      </c>
      <c r="H17" s="2">
        <f>ROUNDUP(G17/E17,0)</f>
        <v>125</v>
      </c>
      <c r="I17" s="2">
        <v>447</v>
      </c>
      <c r="J17" s="2">
        <f>I17*H17</f>
        <v>55875</v>
      </c>
    </row>
  </sheetData>
  <mergeCells count="7">
    <mergeCell ref="B2:E2"/>
    <mergeCell ref="A1:C1"/>
    <mergeCell ref="E1:G1"/>
    <mergeCell ref="B15:C15"/>
    <mergeCell ref="F11:H11"/>
    <mergeCell ref="B9:D9"/>
    <mergeCell ref="F15:H1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sqref="A1:D1"/>
    </sheetView>
  </sheetViews>
  <sheetFormatPr defaultRowHeight="15"/>
  <cols>
    <col min="1" max="1" width="32.5703125" customWidth="1"/>
    <col min="5" max="8" width="11.28515625" customWidth="1"/>
  </cols>
  <sheetData>
    <row r="1" spans="1:10" ht="66" customHeight="1">
      <c r="A1" s="23" t="s">
        <v>174</v>
      </c>
      <c r="B1" s="23"/>
      <c r="C1" s="23"/>
      <c r="D1" s="23"/>
      <c r="H1" s="23" t="s">
        <v>40</v>
      </c>
      <c r="I1" s="23"/>
      <c r="J1" s="23"/>
    </row>
    <row r="5" spans="1:10">
      <c r="E5" t="s">
        <v>33</v>
      </c>
      <c r="G5" t="s">
        <v>34</v>
      </c>
    </row>
    <row r="6" spans="1:10" ht="15.75" thickBot="1">
      <c r="E6" t="s">
        <v>169</v>
      </c>
      <c r="F6" t="s">
        <v>170</v>
      </c>
      <c r="G6" t="s">
        <v>169</v>
      </c>
      <c r="H6" t="s">
        <v>170</v>
      </c>
    </row>
    <row r="7" spans="1:10" ht="18">
      <c r="A7" s="8" t="s">
        <v>150</v>
      </c>
      <c r="B7" s="9"/>
      <c r="C7" s="10" t="s">
        <v>151</v>
      </c>
      <c r="D7" s="10">
        <f>ROUNDUP(ГЛАВНАЯ!B15*2/3,0)</f>
        <v>7</v>
      </c>
      <c r="E7" s="11">
        <v>390</v>
      </c>
      <c r="F7" s="12">
        <v>429</v>
      </c>
      <c r="G7">
        <f>D7*E7</f>
        <v>2730</v>
      </c>
      <c r="H7">
        <f>D7*F7</f>
        <v>3003</v>
      </c>
    </row>
    <row r="8" spans="1:10" ht="18">
      <c r="A8" s="13" t="s">
        <v>152</v>
      </c>
      <c r="B8" s="14"/>
      <c r="C8" s="15" t="s">
        <v>151</v>
      </c>
      <c r="D8" s="15">
        <f>ROUNDUP(ГЛАВНАЯ!D15*ГЛАВНАЯ!D18/3,0)</f>
        <v>2</v>
      </c>
      <c r="E8" s="11">
        <v>471.9</v>
      </c>
      <c r="F8" s="12">
        <v>518.70000000000005</v>
      </c>
      <c r="G8">
        <f t="shared" ref="G8:G21" si="0">D8*E8</f>
        <v>943.8</v>
      </c>
      <c r="H8">
        <f t="shared" ref="H8:H21" si="1">D8*F8</f>
        <v>1037.4000000000001</v>
      </c>
    </row>
    <row r="9" spans="1:10" ht="18">
      <c r="A9" s="13" t="s">
        <v>153</v>
      </c>
      <c r="B9" s="14"/>
      <c r="C9" s="15" t="s">
        <v>151</v>
      </c>
      <c r="D9" s="15">
        <f>ROUNDUP(D7/ГЛАВНАЯ!D18,0)</f>
        <v>4</v>
      </c>
      <c r="E9" s="11">
        <v>136.5</v>
      </c>
      <c r="F9" s="12">
        <v>144.30000000000001</v>
      </c>
      <c r="G9">
        <f t="shared" si="0"/>
        <v>546</v>
      </c>
      <c r="H9">
        <f t="shared" si="1"/>
        <v>577.20000000000005</v>
      </c>
    </row>
    <row r="10" spans="1:10" ht="18">
      <c r="A10" s="13" t="s">
        <v>154</v>
      </c>
      <c r="B10" s="14"/>
      <c r="C10" s="15" t="s">
        <v>151</v>
      </c>
      <c r="D10" s="15"/>
      <c r="E10" s="11">
        <v>81.900000000000006</v>
      </c>
      <c r="F10" s="12">
        <v>85.8</v>
      </c>
      <c r="G10">
        <f t="shared" si="0"/>
        <v>0</v>
      </c>
      <c r="H10">
        <f t="shared" si="1"/>
        <v>0</v>
      </c>
    </row>
    <row r="11" spans="1:10" ht="18">
      <c r="A11" s="13" t="s">
        <v>155</v>
      </c>
      <c r="B11" s="14"/>
      <c r="C11" s="15" t="s">
        <v>151</v>
      </c>
      <c r="D11" s="15"/>
      <c r="E11" s="11">
        <v>214.5</v>
      </c>
      <c r="F11" s="12">
        <v>222.3</v>
      </c>
      <c r="G11">
        <f t="shared" si="0"/>
        <v>0</v>
      </c>
      <c r="H11">
        <f t="shared" si="1"/>
        <v>0</v>
      </c>
    </row>
    <row r="12" spans="1:10" ht="18">
      <c r="A12" s="13" t="s">
        <v>156</v>
      </c>
      <c r="B12" s="14"/>
      <c r="C12" s="15" t="s">
        <v>151</v>
      </c>
      <c r="D12" s="15"/>
      <c r="E12" s="11">
        <v>725.4</v>
      </c>
      <c r="F12" s="12">
        <v>764.4</v>
      </c>
      <c r="G12">
        <f t="shared" si="0"/>
        <v>0</v>
      </c>
      <c r="H12">
        <f t="shared" si="1"/>
        <v>0</v>
      </c>
    </row>
    <row r="13" spans="1:10" ht="18">
      <c r="A13" s="13" t="s">
        <v>157</v>
      </c>
      <c r="B13" s="14"/>
      <c r="C13" s="15" t="s">
        <v>151</v>
      </c>
      <c r="D13" s="15">
        <f>D8</f>
        <v>2</v>
      </c>
      <c r="E13" s="11">
        <v>66.3</v>
      </c>
      <c r="F13" s="12">
        <v>70.2</v>
      </c>
      <c r="G13">
        <f t="shared" si="0"/>
        <v>132.6</v>
      </c>
      <c r="H13">
        <f t="shared" si="1"/>
        <v>140.4</v>
      </c>
    </row>
    <row r="14" spans="1:10" ht="18">
      <c r="A14" s="13" t="s">
        <v>158</v>
      </c>
      <c r="B14" s="14"/>
      <c r="C14" s="15" t="s">
        <v>151</v>
      </c>
      <c r="D14" s="15">
        <f>D8</f>
        <v>2</v>
      </c>
      <c r="E14" s="11">
        <v>66.3</v>
      </c>
      <c r="F14" s="12">
        <v>70.2</v>
      </c>
      <c r="G14">
        <f t="shared" si="0"/>
        <v>132.6</v>
      </c>
      <c r="H14">
        <f t="shared" si="1"/>
        <v>140.4</v>
      </c>
    </row>
    <row r="15" spans="1:10" ht="18">
      <c r="A15" s="13" t="s">
        <v>159</v>
      </c>
      <c r="B15" s="14"/>
      <c r="C15" s="15" t="s">
        <v>151</v>
      </c>
      <c r="D15" s="15"/>
      <c r="E15" s="11">
        <v>159.9</v>
      </c>
      <c r="F15" s="12">
        <v>167.7</v>
      </c>
      <c r="G15">
        <f t="shared" si="0"/>
        <v>0</v>
      </c>
      <c r="H15">
        <f t="shared" si="1"/>
        <v>0</v>
      </c>
    </row>
    <row r="16" spans="1:10" ht="18">
      <c r="A16" s="13" t="s">
        <v>160</v>
      </c>
      <c r="B16" s="14"/>
      <c r="C16" s="15" t="s">
        <v>151</v>
      </c>
      <c r="D16" s="15">
        <f>ROUNDUP(D7/0.4+ГЛАВНАЯ!D18,0)</f>
        <v>20</v>
      </c>
      <c r="E16" s="11">
        <v>46.8</v>
      </c>
      <c r="F16" s="12">
        <v>46.8</v>
      </c>
      <c r="G16">
        <f t="shared" si="0"/>
        <v>936</v>
      </c>
      <c r="H16">
        <f t="shared" si="1"/>
        <v>936</v>
      </c>
    </row>
    <row r="17" spans="1:8" ht="18">
      <c r="A17" s="13" t="s">
        <v>161</v>
      </c>
      <c r="B17" s="14"/>
      <c r="C17" s="15" t="s">
        <v>151</v>
      </c>
      <c r="D17" s="15">
        <f>D8</f>
        <v>2</v>
      </c>
      <c r="E17" s="11">
        <v>245.7</v>
      </c>
      <c r="F17" s="12">
        <v>261.3</v>
      </c>
      <c r="G17">
        <f t="shared" si="0"/>
        <v>491.4</v>
      </c>
      <c r="H17">
        <f t="shared" si="1"/>
        <v>522.6</v>
      </c>
    </row>
    <row r="18" spans="1:8" ht="18">
      <c r="A18" s="13" t="s">
        <v>162</v>
      </c>
      <c r="B18" s="14"/>
      <c r="C18" s="15" t="s">
        <v>151</v>
      </c>
      <c r="D18" s="15">
        <f>D8*2</f>
        <v>4</v>
      </c>
      <c r="E18" s="11">
        <v>156</v>
      </c>
      <c r="F18" s="12">
        <v>163.80000000000001</v>
      </c>
      <c r="G18">
        <f t="shared" si="0"/>
        <v>624</v>
      </c>
      <c r="H18">
        <f t="shared" si="1"/>
        <v>655.20000000000005</v>
      </c>
    </row>
    <row r="19" spans="1:8" ht="18">
      <c r="A19" s="13" t="s">
        <v>163</v>
      </c>
      <c r="B19" s="14"/>
      <c r="C19" s="15" t="s">
        <v>151</v>
      </c>
      <c r="D19" s="15"/>
      <c r="E19" s="11">
        <v>156</v>
      </c>
      <c r="F19" s="12">
        <v>163.80000000000001</v>
      </c>
      <c r="G19">
        <f t="shared" si="0"/>
        <v>0</v>
      </c>
      <c r="H19">
        <f t="shared" si="1"/>
        <v>0</v>
      </c>
    </row>
    <row r="20" spans="1:8" ht="18">
      <c r="A20" s="13" t="s">
        <v>164</v>
      </c>
      <c r="B20" s="14"/>
      <c r="C20" s="15" t="s">
        <v>151</v>
      </c>
      <c r="D20" s="15">
        <f>D8*4</f>
        <v>8</v>
      </c>
      <c r="E20" s="11">
        <v>62.4</v>
      </c>
      <c r="F20" s="12">
        <v>66.3</v>
      </c>
      <c r="G20">
        <f t="shared" si="0"/>
        <v>499.2</v>
      </c>
      <c r="H20">
        <f t="shared" si="1"/>
        <v>530.4</v>
      </c>
    </row>
    <row r="21" spans="1:8" ht="18">
      <c r="A21" s="13" t="s">
        <v>165</v>
      </c>
      <c r="B21" s="14"/>
      <c r="C21" s="15" t="s">
        <v>151</v>
      </c>
      <c r="D21" s="15">
        <f>D8</f>
        <v>2</v>
      </c>
      <c r="E21" s="11">
        <v>148.19999999999999</v>
      </c>
      <c r="F21" s="12">
        <v>152.1</v>
      </c>
      <c r="G21">
        <f t="shared" si="0"/>
        <v>296.39999999999998</v>
      </c>
      <c r="H21">
        <f t="shared" si="1"/>
        <v>304.2</v>
      </c>
    </row>
    <row r="22" spans="1:8" ht="18">
      <c r="A22" s="13" t="s">
        <v>166</v>
      </c>
      <c r="B22" s="14"/>
      <c r="C22" s="15" t="s">
        <v>151</v>
      </c>
      <c r="D22" s="15"/>
      <c r="E22" s="11">
        <v>54.6</v>
      </c>
      <c r="F22" s="12">
        <v>54.6</v>
      </c>
    </row>
    <row r="23" spans="1:8" ht="110.25" customHeight="1">
      <c r="A23" s="13" t="s">
        <v>167</v>
      </c>
      <c r="B23" s="14"/>
      <c r="C23" s="15" t="s">
        <v>151</v>
      </c>
      <c r="D23" s="15"/>
      <c r="E23" s="25">
        <v>144.30000000000001</v>
      </c>
      <c r="F23" s="26">
        <v>0</v>
      </c>
    </row>
    <row r="24" spans="1:8" ht="32.25" thickBot="1">
      <c r="A24" s="16" t="s">
        <v>168</v>
      </c>
      <c r="B24" s="17"/>
      <c r="C24" s="18" t="s">
        <v>151</v>
      </c>
      <c r="D24" s="19"/>
      <c r="E24" s="27">
        <v>128.69999999999999</v>
      </c>
      <c r="F24" s="28">
        <v>0</v>
      </c>
    </row>
    <row r="26" spans="1:8" ht="15.75">
      <c r="A26" s="20" t="s">
        <v>19</v>
      </c>
      <c r="G26">
        <f>SUM(G7:G24)</f>
        <v>7332</v>
      </c>
      <c r="H26">
        <f>SUM(H7:H24)</f>
        <v>7846.7999999999993</v>
      </c>
    </row>
  </sheetData>
  <mergeCells count="4">
    <mergeCell ref="A1:D1"/>
    <mergeCell ref="H1:J1"/>
    <mergeCell ref="E23:F23"/>
    <mergeCell ref="E24:F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sqref="A1:D1"/>
    </sheetView>
  </sheetViews>
  <sheetFormatPr defaultRowHeight="15"/>
  <cols>
    <col min="4" max="4" width="16.42578125" customWidth="1"/>
    <col min="5" max="5" width="11.5703125" bestFit="1" customWidth="1"/>
  </cols>
  <sheetData>
    <row r="1" spans="1:9" ht="100.5" customHeight="1">
      <c r="A1" s="23" t="s">
        <v>174</v>
      </c>
      <c r="B1" s="23"/>
      <c r="C1" s="23"/>
      <c r="D1" s="23"/>
      <c r="G1" s="23" t="s">
        <v>40</v>
      </c>
      <c r="H1" s="23"/>
      <c r="I1" s="23"/>
    </row>
    <row r="4" spans="1:9" ht="45">
      <c r="A4" s="5"/>
      <c r="B4" s="2"/>
      <c r="C4" s="2"/>
      <c r="D4" s="23" t="s">
        <v>5</v>
      </c>
      <c r="E4" s="23"/>
      <c r="F4" s="2" t="s">
        <v>32</v>
      </c>
      <c r="G4" s="6" t="s">
        <v>34</v>
      </c>
    </row>
    <row r="5" spans="1:9" ht="45">
      <c r="A5" s="2" t="s">
        <v>24</v>
      </c>
      <c r="B5" s="2" t="s">
        <v>25</v>
      </c>
      <c r="C5" s="2" t="s">
        <v>22</v>
      </c>
      <c r="D5" s="2" t="s">
        <v>31</v>
      </c>
      <c r="E5" s="2" t="s">
        <v>28</v>
      </c>
    </row>
    <row r="6" spans="1:9">
      <c r="A6" s="2">
        <f>ГЛАВНАЯ!B18</f>
        <v>6</v>
      </c>
      <c r="B6" s="2">
        <f>ГЛАВНАЯ!C18</f>
        <v>11</v>
      </c>
      <c r="C6" s="2">
        <v>2</v>
      </c>
      <c r="D6" s="2">
        <f>A6*B6*C6</f>
        <v>132</v>
      </c>
      <c r="E6" s="2">
        <f>ROUNDUP(D6/1.55,0)</f>
        <v>86</v>
      </c>
      <c r="F6" s="2">
        <v>449</v>
      </c>
      <c r="G6" s="2">
        <f>ондулин!E6*ондулин!F6</f>
        <v>38614</v>
      </c>
      <c r="H6" s="2"/>
    </row>
    <row r="7" spans="1:9" ht="30">
      <c r="A7" s="2">
        <v>10</v>
      </c>
      <c r="B7" s="2"/>
      <c r="C7" s="2"/>
      <c r="D7" s="2" t="s">
        <v>41</v>
      </c>
      <c r="E7" s="2">
        <f>ROUNDUP(E6*20/100,0)</f>
        <v>18</v>
      </c>
      <c r="F7" s="2">
        <v>130</v>
      </c>
      <c r="G7" s="2">
        <f>ондулин!E7*ондулин!F7</f>
        <v>2340</v>
      </c>
      <c r="H7" s="2"/>
    </row>
    <row r="8" spans="1:9">
      <c r="A8" s="2"/>
      <c r="B8" s="2"/>
      <c r="C8" s="2"/>
      <c r="D8" s="2" t="s">
        <v>43</v>
      </c>
      <c r="E8" s="2">
        <f>ROUNDUP(B6/0.9,0)</f>
        <v>13</v>
      </c>
      <c r="F8" s="2">
        <v>270</v>
      </c>
      <c r="G8" s="2">
        <f>ондулин!E8*ондулин!F8</f>
        <v>3510</v>
      </c>
      <c r="H8" s="2"/>
    </row>
    <row r="9" spans="1:9">
      <c r="A9" s="2"/>
      <c r="B9" s="2"/>
      <c r="C9" s="2"/>
      <c r="D9" s="2" t="s">
        <v>42</v>
      </c>
      <c r="E9" s="2">
        <f>ROUNDUP(A6*2*C6,0)</f>
        <v>24</v>
      </c>
      <c r="F9" s="2">
        <v>270</v>
      </c>
      <c r="G9" s="2">
        <f>ондулин!E9*ондулин!F9</f>
        <v>6480</v>
      </c>
      <c r="H9" s="2"/>
    </row>
    <row r="10" spans="1:9">
      <c r="A10" s="2"/>
      <c r="B10" s="2"/>
      <c r="C10" s="2"/>
      <c r="D10" s="5" t="s">
        <v>48</v>
      </c>
      <c r="E10" s="5"/>
      <c r="F10" s="5"/>
      <c r="G10" s="5">
        <f>SUM(G6:G9)</f>
        <v>50944</v>
      </c>
      <c r="H10" s="2"/>
    </row>
  </sheetData>
  <mergeCells count="3">
    <mergeCell ref="G1:I1"/>
    <mergeCell ref="A1:D1"/>
    <mergeCell ref="D4:E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sqref="A1:C1"/>
    </sheetView>
  </sheetViews>
  <sheetFormatPr defaultRowHeight="15"/>
  <cols>
    <col min="1" max="1" width="9.42578125" style="2" customWidth="1"/>
    <col min="2" max="2" width="7.7109375" style="2" customWidth="1"/>
    <col min="3" max="3" width="8.7109375" style="2" customWidth="1"/>
    <col min="4" max="4" width="8.85546875" style="2" customWidth="1"/>
    <col min="5" max="9" width="9.140625" style="2"/>
    <col min="10" max="10" width="12" style="2" customWidth="1"/>
    <col min="11" max="16384" width="9.140625" style="2"/>
  </cols>
  <sheetData>
    <row r="1" spans="1:10" ht="78" customHeight="1">
      <c r="A1" s="23" t="s">
        <v>174</v>
      </c>
      <c r="B1" s="23"/>
      <c r="C1" s="23"/>
      <c r="E1" s="23" t="s">
        <v>40</v>
      </c>
      <c r="F1" s="23"/>
      <c r="G1" s="23"/>
    </row>
    <row r="3" spans="1:10">
      <c r="C3" s="23" t="s">
        <v>1</v>
      </c>
      <c r="D3" s="23"/>
      <c r="F3" s="2" t="s">
        <v>19</v>
      </c>
    </row>
    <row r="4" spans="1:10" ht="60">
      <c r="A4" s="2" t="s">
        <v>12</v>
      </c>
      <c r="B4" s="2" t="s">
        <v>4</v>
      </c>
      <c r="C4" s="2" t="s">
        <v>2</v>
      </c>
      <c r="D4" s="2" t="s">
        <v>3</v>
      </c>
      <c r="F4" s="2" t="s">
        <v>7</v>
      </c>
      <c r="G4" s="2" t="s">
        <v>38</v>
      </c>
      <c r="H4" s="2" t="s">
        <v>37</v>
      </c>
      <c r="I4" s="2" t="s">
        <v>49</v>
      </c>
      <c r="J4" s="5" t="s">
        <v>51</v>
      </c>
    </row>
    <row r="5" spans="1:10">
      <c r="A5" s="2">
        <v>200</v>
      </c>
      <c r="B5" s="2">
        <v>2.7</v>
      </c>
      <c r="C5" s="2">
        <v>10</v>
      </c>
      <c r="D5" s="2">
        <v>8</v>
      </c>
      <c r="F5" s="2">
        <f>B5*C5*D5*2*A5/1000</f>
        <v>86.4</v>
      </c>
      <c r="G5" s="2">
        <f>ROUNDUP(F5/0.625/0.25/A5*1000,0)</f>
        <v>2765</v>
      </c>
      <c r="H5" s="2">
        <v>142</v>
      </c>
      <c r="I5" s="2">
        <v>4000</v>
      </c>
      <c r="J5" s="2">
        <f>H5*G5+I5</f>
        <v>396630</v>
      </c>
    </row>
  </sheetData>
  <mergeCells count="3">
    <mergeCell ref="C3:D3"/>
    <mergeCell ref="A1:C1"/>
    <mergeCell ref="E1:G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sqref="A1:C1"/>
    </sheetView>
  </sheetViews>
  <sheetFormatPr defaultRowHeight="15"/>
  <cols>
    <col min="1" max="1" width="10.5703125" style="2" customWidth="1"/>
    <col min="2" max="2" width="19.5703125" style="2" customWidth="1"/>
    <col min="3" max="3" width="14.140625" style="2" customWidth="1"/>
    <col min="4" max="4" width="9.140625" style="2"/>
    <col min="5" max="5" width="12" style="2" customWidth="1"/>
    <col min="6" max="8" width="9.140625" style="2"/>
    <col min="9" max="9" width="11.28515625" style="2" customWidth="1"/>
    <col min="10" max="16384" width="9.140625" style="2"/>
  </cols>
  <sheetData>
    <row r="1" spans="1:11" ht="91.5" customHeight="1">
      <c r="A1" s="23" t="s">
        <v>174</v>
      </c>
      <c r="B1" s="23"/>
      <c r="C1" s="23"/>
      <c r="E1" s="23" t="s">
        <v>40</v>
      </c>
      <c r="F1" s="23"/>
      <c r="G1" s="23"/>
      <c r="I1" s="5" t="s">
        <v>67</v>
      </c>
      <c r="K1" s="2" t="s">
        <v>5</v>
      </c>
    </row>
    <row r="2" spans="1:11" ht="35.25" customHeight="1">
      <c r="I2" s="2" t="s">
        <v>68</v>
      </c>
      <c r="J2" s="2" t="s">
        <v>69</v>
      </c>
      <c r="K2" s="2" t="s">
        <v>66</v>
      </c>
    </row>
    <row r="3" spans="1:11">
      <c r="I3" s="2">
        <v>3200</v>
      </c>
      <c r="J3" s="2">
        <v>10</v>
      </c>
      <c r="K3" s="2">
        <f>I3/J3</f>
        <v>320</v>
      </c>
    </row>
    <row r="4" spans="1:11" ht="45">
      <c r="A4" s="2" t="s">
        <v>113</v>
      </c>
      <c r="B4" s="2" t="s">
        <v>17</v>
      </c>
      <c r="C4" s="2" t="s">
        <v>18</v>
      </c>
      <c r="D4" s="2" t="s">
        <v>66</v>
      </c>
      <c r="E4" s="2" t="s">
        <v>70</v>
      </c>
    </row>
    <row r="5" spans="1:11">
      <c r="A5" s="2">
        <f>ГЛАВНАЯ!B15*ГЛАВНАЯ!C15</f>
        <v>80</v>
      </c>
      <c r="B5" s="2">
        <v>180</v>
      </c>
      <c r="C5" s="2">
        <f>ROUNDUP(A5*100/B5,0)</f>
        <v>45</v>
      </c>
      <c r="D5" s="2">
        <f>K3</f>
        <v>320</v>
      </c>
      <c r="E5" s="2">
        <f>C5*D5</f>
        <v>14400</v>
      </c>
    </row>
    <row r="9" spans="1:11">
      <c r="A9" s="2" t="s">
        <v>114</v>
      </c>
    </row>
    <row r="10" spans="1:11" ht="30">
      <c r="A10" s="2" t="s">
        <v>115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topLeftCell="A4" workbookViewId="0">
      <selection activeCell="E11" sqref="E11"/>
    </sheetView>
  </sheetViews>
  <sheetFormatPr defaultRowHeight="15"/>
  <cols>
    <col min="1" max="1" width="14.28515625" style="2" customWidth="1"/>
    <col min="2" max="2" width="12" style="2" customWidth="1"/>
    <col min="3" max="3" width="7" style="2" customWidth="1"/>
    <col min="4" max="4" width="14.42578125" style="2" customWidth="1"/>
    <col min="5" max="5" width="13.28515625" style="2" customWidth="1"/>
    <col min="6" max="6" width="13.85546875" style="2" customWidth="1"/>
    <col min="7" max="7" width="9.140625" style="2"/>
    <col min="8" max="8" width="11" style="2" customWidth="1"/>
    <col min="9" max="16384" width="9.140625" style="2"/>
  </cols>
  <sheetData>
    <row r="1" spans="1:11" customFormat="1" ht="82.5" customHeight="1">
      <c r="A1" s="23" t="s">
        <v>39</v>
      </c>
      <c r="B1" s="23"/>
      <c r="C1" s="23"/>
      <c r="D1" s="23"/>
      <c r="E1" s="23"/>
      <c r="F1" s="23"/>
      <c r="I1" s="23" t="s">
        <v>40</v>
      </c>
      <c r="J1" s="23"/>
      <c r="K1" s="23"/>
    </row>
    <row r="2" spans="1:11" ht="21">
      <c r="A2" s="4" t="s">
        <v>11</v>
      </c>
    </row>
    <row r="3" spans="1:11" ht="45">
      <c r="A3" s="5"/>
      <c r="F3" s="2" t="s">
        <v>5</v>
      </c>
      <c r="J3" s="5" t="s">
        <v>32</v>
      </c>
      <c r="K3" s="5" t="s">
        <v>47</v>
      </c>
    </row>
    <row r="4" spans="1:11" ht="101.25" customHeight="1">
      <c r="A4" s="2" t="s">
        <v>24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31</v>
      </c>
      <c r="G4" s="2" t="s">
        <v>28</v>
      </c>
      <c r="H4" s="2" t="s">
        <v>29</v>
      </c>
      <c r="I4" s="2" t="s">
        <v>30</v>
      </c>
    </row>
    <row r="5" spans="1:11">
      <c r="A5" s="2">
        <f>ГЛАВНАЯ!B18</f>
        <v>6</v>
      </c>
      <c r="B5" s="2">
        <f>ГЛАВНАЯ!C18</f>
        <v>11</v>
      </c>
      <c r="C5" s="2">
        <f>ГЛАВНАЯ!D18</f>
        <v>2</v>
      </c>
      <c r="D5" s="2">
        <v>1.1000000000000001</v>
      </c>
      <c r="E5" s="2">
        <v>1.1499999999999999</v>
      </c>
      <c r="G5" s="2">
        <f>ROUNDUP(B5/D5,0)*C5</f>
        <v>20</v>
      </c>
      <c r="H5" s="2">
        <f>A5</f>
        <v>6</v>
      </c>
      <c r="I5" s="2">
        <f>G5*H5*E5</f>
        <v>138</v>
      </c>
      <c r="J5" s="2">
        <v>219</v>
      </c>
      <c r="K5" s="2">
        <f>I5*J5</f>
        <v>30222</v>
      </c>
    </row>
    <row r="6" spans="1:11">
      <c r="A6" s="2">
        <v>10</v>
      </c>
      <c r="K6" s="2">
        <f t="shared" ref="K6:K9" si="0">I6*J6</f>
        <v>0</v>
      </c>
    </row>
    <row r="7" spans="1:11">
      <c r="H7" s="2" t="s">
        <v>46</v>
      </c>
      <c r="I7" s="2">
        <f>ROUNDUP(B5/1.9,0)</f>
        <v>6</v>
      </c>
      <c r="J7" s="2">
        <v>220</v>
      </c>
      <c r="K7" s="2">
        <f t="shared" si="0"/>
        <v>1320</v>
      </c>
    </row>
    <row r="8" spans="1:11" ht="30">
      <c r="H8" s="2" t="s">
        <v>44</v>
      </c>
      <c r="I8" s="2">
        <f>ROUNDUP(A5*2*C5,0)</f>
        <v>24</v>
      </c>
      <c r="J8" s="2">
        <v>176</v>
      </c>
      <c r="K8" s="2">
        <f t="shared" si="0"/>
        <v>4224</v>
      </c>
    </row>
    <row r="9" spans="1:11">
      <c r="H9" s="2" t="s">
        <v>45</v>
      </c>
      <c r="I9" s="2">
        <f>I5*6</f>
        <v>828</v>
      </c>
      <c r="J9" s="2">
        <v>1.5</v>
      </c>
      <c r="K9" s="2">
        <f t="shared" si="0"/>
        <v>1242</v>
      </c>
    </row>
    <row r="11" spans="1:11" ht="30">
      <c r="H11" s="5" t="s">
        <v>48</v>
      </c>
      <c r="I11" s="5"/>
      <c r="J11" s="5"/>
      <c r="K11" s="5">
        <f>SUM(K5:K10)</f>
        <v>37008</v>
      </c>
    </row>
  </sheetData>
  <mergeCells count="2">
    <mergeCell ref="A1:F1"/>
    <mergeCell ref="I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workbookViewId="0">
      <selection activeCell="D10" sqref="D10"/>
    </sheetView>
  </sheetViews>
  <sheetFormatPr defaultColWidth="17.42578125" defaultRowHeight="15"/>
  <cols>
    <col min="1" max="6" width="17.42578125" style="7"/>
    <col min="7" max="7" width="34.7109375" style="7" customWidth="1"/>
    <col min="8" max="16384" width="17.42578125" style="7"/>
  </cols>
  <sheetData>
    <row r="2" spans="1:8" ht="40.5" customHeight="1">
      <c r="A2" s="29" t="s">
        <v>53</v>
      </c>
      <c r="B2" s="29"/>
      <c r="C2" s="29"/>
      <c r="D2" s="29"/>
      <c r="E2" s="29"/>
      <c r="F2" s="29"/>
      <c r="G2" s="29"/>
    </row>
    <row r="3" spans="1:8" ht="39.75" customHeight="1">
      <c r="A3" s="7">
        <v>200</v>
      </c>
      <c r="B3" s="7" t="s">
        <v>55</v>
      </c>
      <c r="E3" s="7" t="s">
        <v>57</v>
      </c>
      <c r="F3" s="7" t="s">
        <v>65</v>
      </c>
      <c r="G3" s="7" t="s">
        <v>52</v>
      </c>
      <c r="H3" s="7" t="s">
        <v>54</v>
      </c>
    </row>
    <row r="4" spans="1:8" ht="39.75" customHeight="1">
      <c r="B4" s="7" t="s">
        <v>56</v>
      </c>
      <c r="C4" s="7" t="s">
        <v>2</v>
      </c>
      <c r="D4" s="7" t="s">
        <v>61</v>
      </c>
    </row>
    <row r="5" spans="1:8">
      <c r="A5" s="7" t="s">
        <v>62</v>
      </c>
      <c r="B5" s="7">
        <v>1.5</v>
      </c>
      <c r="C5" s="7">
        <v>3</v>
      </c>
      <c r="D5" s="7">
        <v>6</v>
      </c>
      <c r="E5" s="7" t="s">
        <v>60</v>
      </c>
      <c r="F5" s="7">
        <v>15</v>
      </c>
      <c r="G5" s="7">
        <v>200</v>
      </c>
      <c r="H5" s="7">
        <f>G5*2*F5</f>
        <v>6000</v>
      </c>
    </row>
    <row r="6" spans="1:8">
      <c r="A6" s="7" t="s">
        <v>64</v>
      </c>
      <c r="B6" s="7">
        <v>3</v>
      </c>
      <c r="C6" s="7">
        <v>6</v>
      </c>
      <c r="D6" s="7">
        <v>18</v>
      </c>
      <c r="E6" s="7" t="s">
        <v>58</v>
      </c>
      <c r="F6" s="7">
        <v>18</v>
      </c>
      <c r="H6" s="7">
        <f>G5*2*F6</f>
        <v>7200</v>
      </c>
    </row>
    <row r="7" spans="1:8">
      <c r="A7" s="7" t="s">
        <v>63</v>
      </c>
      <c r="B7" s="7">
        <v>20</v>
      </c>
      <c r="C7" s="7">
        <v>12</v>
      </c>
      <c r="D7" s="7">
        <v>76</v>
      </c>
      <c r="E7" s="7" t="s">
        <v>59</v>
      </c>
      <c r="F7" s="7">
        <v>25</v>
      </c>
      <c r="H7" s="7">
        <f>G5*2*F7</f>
        <v>10000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ГЛАВНАЯ</vt:lpstr>
      <vt:lpstr>сайдинг</vt:lpstr>
      <vt:lpstr>утеплитель</vt:lpstr>
      <vt:lpstr>водосток</vt:lpstr>
      <vt:lpstr>ондулин</vt:lpstr>
      <vt:lpstr>газобетон</vt:lpstr>
      <vt:lpstr>радиаторы</vt:lpstr>
      <vt:lpstr>профлист</vt:lpstr>
      <vt:lpstr>доставка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2019-11-01T04:08:43Z</dcterms:modified>
</cp:coreProperties>
</file>